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yuchkovaTP\Desktop\19 октября 2020 на сайт ГП за 9 месяцев\"/>
    </mc:Choice>
  </mc:AlternateContent>
  <bookViews>
    <workbookView xWindow="-30" yWindow="90" windowWidth="11820" windowHeight="10830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Лист1!$B$4:$J$177</definedName>
    <definedName name="_xlnm.Print_Titles" localSheetId="0">Лист1!$4:$7</definedName>
    <definedName name="_xlnm.Print_Area" localSheetId="0">Лист1!$A$1:$V$177</definedName>
  </definedNames>
  <calcPr calcId="162913"/>
</workbook>
</file>

<file path=xl/calcChain.xml><?xml version="1.0" encoding="utf-8"?>
<calcChain xmlns="http://schemas.openxmlformats.org/spreadsheetml/2006/main">
  <c r="U141" i="1" l="1"/>
  <c r="T141" i="1"/>
  <c r="Q176" i="1"/>
  <c r="U176" i="1" s="1"/>
  <c r="S176" i="1" s="1"/>
  <c r="Q175" i="1"/>
  <c r="U175" i="1" s="1"/>
  <c r="S175" i="1" s="1"/>
  <c r="W175" i="1" s="1"/>
  <c r="N148" i="1"/>
  <c r="M148" i="1"/>
  <c r="L148" i="1"/>
  <c r="V148" i="1"/>
  <c r="T148" i="1"/>
  <c r="T144" i="1" s="1"/>
  <c r="R148" i="1"/>
  <c r="Q148" i="1"/>
  <c r="P148" i="1"/>
  <c r="Q141" i="1"/>
  <c r="Q140" i="1" s="1"/>
  <c r="Q139" i="1" s="1"/>
  <c r="P141" i="1"/>
  <c r="P140" i="1" s="1"/>
  <c r="T59" i="1"/>
  <c r="Q59" i="1"/>
  <c r="P59" i="1"/>
  <c r="U59" i="1"/>
  <c r="T32" i="1"/>
  <c r="U32" i="1"/>
  <c r="T96" i="1"/>
  <c r="S96" i="1" s="1"/>
  <c r="U68" i="1"/>
  <c r="U66" i="1" s="1"/>
  <c r="T68" i="1"/>
  <c r="U65" i="1"/>
  <c r="U64" i="1" s="1"/>
  <c r="T65" i="1"/>
  <c r="Q68" i="1"/>
  <c r="P68" i="1"/>
  <c r="O68" i="1" s="1"/>
  <c r="P65" i="1"/>
  <c r="Q65" i="1"/>
  <c r="P32" i="1"/>
  <c r="Q32" i="1"/>
  <c r="P77" i="1"/>
  <c r="R77" i="1"/>
  <c r="U77" i="1"/>
  <c r="T77" i="1"/>
  <c r="T83" i="1"/>
  <c r="S83" i="1" s="1"/>
  <c r="T85" i="1"/>
  <c r="T58" i="1"/>
  <c r="S58" i="1" s="1"/>
  <c r="Q60" i="1"/>
  <c r="Q58" i="1" s="1"/>
  <c r="Q61" i="1"/>
  <c r="P61" i="1"/>
  <c r="P58" i="1" s="1"/>
  <c r="O58" i="1" s="1"/>
  <c r="Y58" i="1" s="1"/>
  <c r="Q63" i="1"/>
  <c r="Q62" i="1" s="1"/>
  <c r="O62" i="1" s="1"/>
  <c r="Y62" i="1" s="1"/>
  <c r="P62" i="1"/>
  <c r="Q64" i="1"/>
  <c r="P64" i="1"/>
  <c r="O64" i="1" s="1"/>
  <c r="Q66" i="1"/>
  <c r="P66" i="1"/>
  <c r="V52" i="1"/>
  <c r="U52" i="1"/>
  <c r="T52" i="1"/>
  <c r="S52" i="1" s="1"/>
  <c r="T45" i="1"/>
  <c r="P45" i="1"/>
  <c r="O45" i="1" s="1"/>
  <c r="T43" i="1"/>
  <c r="S44" i="1"/>
  <c r="W44" i="1" s="1"/>
  <c r="Q43" i="1"/>
  <c r="R43" i="1"/>
  <c r="P43" i="1"/>
  <c r="O43" i="1" s="1"/>
  <c r="T40" i="1"/>
  <c r="S42" i="1"/>
  <c r="R40" i="1"/>
  <c r="P41" i="1"/>
  <c r="O41" i="1" s="1"/>
  <c r="P40" i="1"/>
  <c r="O40" i="1" s="1"/>
  <c r="T33" i="1"/>
  <c r="S38" i="1"/>
  <c r="S39" i="1"/>
  <c r="W39" i="1" s="1"/>
  <c r="Q33" i="1"/>
  <c r="R33" i="1"/>
  <c r="T17" i="1"/>
  <c r="P23" i="1"/>
  <c r="T10" i="1"/>
  <c r="U10" i="1"/>
  <c r="V10" i="1"/>
  <c r="S10" i="1"/>
  <c r="W10" i="1" s="1"/>
  <c r="P16" i="1"/>
  <c r="O16" i="1" s="1"/>
  <c r="Y16" i="1" s="1"/>
  <c r="Q16" i="1"/>
  <c r="R10" i="1"/>
  <c r="S28" i="1"/>
  <c r="S32" i="1"/>
  <c r="S31" i="1"/>
  <c r="S30" i="1"/>
  <c r="S29" i="1"/>
  <c r="T169" i="1"/>
  <c r="V154" i="1"/>
  <c r="V153" i="1" s="1"/>
  <c r="T154" i="1"/>
  <c r="U142" i="1"/>
  <c r="U140" i="1"/>
  <c r="U139" i="1"/>
  <c r="T142" i="1"/>
  <c r="S142" i="1"/>
  <c r="W142" i="1" s="1"/>
  <c r="T140" i="1"/>
  <c r="U133" i="1"/>
  <c r="T133" i="1"/>
  <c r="S133" i="1" s="1"/>
  <c r="W133" i="1" s="1"/>
  <c r="T128" i="1"/>
  <c r="U126" i="1"/>
  <c r="T126" i="1"/>
  <c r="S126" i="1" s="1"/>
  <c r="U135" i="1"/>
  <c r="T135" i="1"/>
  <c r="T125" i="1"/>
  <c r="V135" i="1"/>
  <c r="T122" i="1"/>
  <c r="T119" i="1"/>
  <c r="T117" i="1"/>
  <c r="U113" i="1"/>
  <c r="T113" i="1"/>
  <c r="S113" i="1" s="1"/>
  <c r="W113" i="1" s="1"/>
  <c r="T103" i="1"/>
  <c r="S103" i="1" s="1"/>
  <c r="W103" i="1" s="1"/>
  <c r="T102" i="1"/>
  <c r="V113" i="1"/>
  <c r="U109" i="1"/>
  <c r="T109" i="1"/>
  <c r="S109" i="1" s="1"/>
  <c r="W109" i="1" s="1"/>
  <c r="V103" i="1"/>
  <c r="U106" i="1"/>
  <c r="U103" i="1" s="1"/>
  <c r="U107" i="1"/>
  <c r="U108" i="1"/>
  <c r="V95" i="1"/>
  <c r="U95" i="1"/>
  <c r="T95" i="1"/>
  <c r="S95" i="1" s="1"/>
  <c r="V93" i="1"/>
  <c r="U93" i="1"/>
  <c r="S93" i="1" s="1"/>
  <c r="W93" i="1" s="1"/>
  <c r="T93" i="1"/>
  <c r="V89" i="1"/>
  <c r="V77" i="1"/>
  <c r="V76" i="1" s="1"/>
  <c r="V85" i="1"/>
  <c r="U89" i="1"/>
  <c r="T89" i="1"/>
  <c r="S89" i="1" s="1"/>
  <c r="W89" i="1" s="1"/>
  <c r="V83" i="1"/>
  <c r="U83" i="1"/>
  <c r="U177" i="1"/>
  <c r="U174" i="1"/>
  <c r="S174" i="1" s="1"/>
  <c r="U173" i="1"/>
  <c r="S173" i="1" s="1"/>
  <c r="W173" i="1" s="1"/>
  <c r="U171" i="1"/>
  <c r="S167" i="1"/>
  <c r="U167" i="1"/>
  <c r="U166" i="1"/>
  <c r="U154" i="1" s="1"/>
  <c r="U158" i="1"/>
  <c r="S158" i="1" s="1"/>
  <c r="U157" i="1"/>
  <c r="U156" i="1"/>
  <c r="U155" i="1"/>
  <c r="U143" i="1"/>
  <c r="U134" i="1"/>
  <c r="U132" i="1"/>
  <c r="U131" i="1"/>
  <c r="U129" i="1"/>
  <c r="U128" i="1" s="1"/>
  <c r="U125" i="1" s="1"/>
  <c r="U124" i="1"/>
  <c r="U121" i="1"/>
  <c r="S121" i="1" s="1"/>
  <c r="U120" i="1"/>
  <c r="U118" i="1"/>
  <c r="U117" i="1" s="1"/>
  <c r="S117" i="1" s="1"/>
  <c r="U114" i="1"/>
  <c r="U112" i="1"/>
  <c r="U110" i="1"/>
  <c r="S94" i="1"/>
  <c r="U86" i="1"/>
  <c r="U85" i="1" s="1"/>
  <c r="U57" i="1"/>
  <c r="U55" i="1"/>
  <c r="U53" i="1"/>
  <c r="U48" i="1"/>
  <c r="U45" i="1" s="1"/>
  <c r="S45" i="1" s="1"/>
  <c r="W45" i="1" s="1"/>
  <c r="U44" i="1"/>
  <c r="U43" i="1" s="1"/>
  <c r="U41" i="1"/>
  <c r="U40" i="1" s="1"/>
  <c r="U36" i="1"/>
  <c r="S36" i="1" s="1"/>
  <c r="W36" i="1" s="1"/>
  <c r="U35" i="1"/>
  <c r="S35" i="1" s="1"/>
  <c r="U34" i="1"/>
  <c r="S34" i="1" s="1"/>
  <c r="U26" i="1"/>
  <c r="U25" i="1"/>
  <c r="S25" i="1" s="1"/>
  <c r="U24" i="1"/>
  <c r="U22" i="1"/>
  <c r="S22" i="1" s="1"/>
  <c r="U21" i="1"/>
  <c r="U20" i="1"/>
  <c r="U19" i="1"/>
  <c r="U17" i="1" s="1"/>
  <c r="S17" i="1" s="1"/>
  <c r="U18" i="1"/>
  <c r="U15" i="1"/>
  <c r="U14" i="1"/>
  <c r="U13" i="1"/>
  <c r="U12" i="1"/>
  <c r="U11" i="1"/>
  <c r="P96" i="1"/>
  <c r="P95" i="1" s="1"/>
  <c r="O96" i="1"/>
  <c r="Q155" i="1"/>
  <c r="R17" i="1"/>
  <c r="O65" i="1"/>
  <c r="M169" i="1"/>
  <c r="R169" i="1"/>
  <c r="R153" i="1"/>
  <c r="P169" i="1"/>
  <c r="R154" i="1"/>
  <c r="P154" i="1"/>
  <c r="R142" i="1"/>
  <c r="R139" i="1" s="1"/>
  <c r="P142" i="1"/>
  <c r="R140" i="1"/>
  <c r="R133" i="1"/>
  <c r="P133" i="1"/>
  <c r="R128" i="1"/>
  <c r="R126" i="1"/>
  <c r="Q126" i="1"/>
  <c r="P126" i="1"/>
  <c r="R122" i="1"/>
  <c r="Q122" i="1"/>
  <c r="P122" i="1"/>
  <c r="O122" i="1" s="1"/>
  <c r="R119" i="1"/>
  <c r="P119" i="1"/>
  <c r="R117" i="1"/>
  <c r="P117" i="1"/>
  <c r="R113" i="1"/>
  <c r="P113" i="1"/>
  <c r="R109" i="1"/>
  <c r="Q109" i="1"/>
  <c r="P109" i="1"/>
  <c r="O109" i="1" s="1"/>
  <c r="Y109" i="1" s="1"/>
  <c r="R103" i="1"/>
  <c r="Q103" i="1"/>
  <c r="P103" i="1"/>
  <c r="O103" i="1" s="1"/>
  <c r="R95" i="1"/>
  <c r="Q95" i="1"/>
  <c r="R93" i="1"/>
  <c r="Q93" i="1"/>
  <c r="P93" i="1"/>
  <c r="O93" i="1" s="1"/>
  <c r="Y93" i="1" s="1"/>
  <c r="R89" i="1"/>
  <c r="Q89" i="1"/>
  <c r="P89" i="1"/>
  <c r="O89" i="1" s="1"/>
  <c r="Y89" i="1" s="1"/>
  <c r="R85" i="1"/>
  <c r="P85" i="1"/>
  <c r="R83" i="1"/>
  <c r="P83" i="1"/>
  <c r="R66" i="1"/>
  <c r="R58" i="1"/>
  <c r="R56" i="1"/>
  <c r="P56" i="1"/>
  <c r="R52" i="1"/>
  <c r="P49" i="1"/>
  <c r="R45" i="1"/>
  <c r="Q177" i="1"/>
  <c r="Q174" i="1"/>
  <c r="O174" i="1" s="1"/>
  <c r="Q173" i="1"/>
  <c r="O173" i="1" s="1"/>
  <c r="Y173" i="1" s="1"/>
  <c r="Q172" i="1"/>
  <c r="O172" i="1" s="1"/>
  <c r="Y172" i="1" s="1"/>
  <c r="Q171" i="1"/>
  <c r="Q170" i="1"/>
  <c r="O170" i="1" s="1"/>
  <c r="Y170" i="1" s="1"/>
  <c r="Q168" i="1"/>
  <c r="Q167" i="1"/>
  <c r="Q166" i="1"/>
  <c r="P165" i="1"/>
  <c r="P164" i="1"/>
  <c r="P162" i="1"/>
  <c r="Q158" i="1"/>
  <c r="Q157" i="1"/>
  <c r="Q156" i="1"/>
  <c r="Q143" i="1"/>
  <c r="Q142" i="1" s="1"/>
  <c r="Q134" i="1"/>
  <c r="Q132" i="1"/>
  <c r="Q131" i="1"/>
  <c r="O131" i="1" s="1"/>
  <c r="Y131" i="1" s="1"/>
  <c r="Q130" i="1"/>
  <c r="Q129" i="1"/>
  <c r="Q127" i="1"/>
  <c r="Q124" i="1"/>
  <c r="Q121" i="1"/>
  <c r="O121" i="1" s="1"/>
  <c r="Q120" i="1"/>
  <c r="Q119" i="1" s="1"/>
  <c r="O119" i="1" s="1"/>
  <c r="Q118" i="1"/>
  <c r="Q117" i="1" s="1"/>
  <c r="O117" i="1" s="1"/>
  <c r="Y117" i="1" s="1"/>
  <c r="Q114" i="1"/>
  <c r="Q112" i="1"/>
  <c r="Q110" i="1"/>
  <c r="Q86" i="1"/>
  <c r="Q85" i="1" s="1"/>
  <c r="Q84" i="1"/>
  <c r="Q83" i="1" s="1"/>
  <c r="Q80" i="1"/>
  <c r="O80" i="1" s="1"/>
  <c r="Y80" i="1" s="1"/>
  <c r="Q79" i="1"/>
  <c r="O79" i="1" s="1"/>
  <c r="Y79" i="1" s="1"/>
  <c r="Q78" i="1"/>
  <c r="Q57" i="1"/>
  <c r="Q56" i="1" s="1"/>
  <c r="Q55" i="1"/>
  <c r="Q53" i="1"/>
  <c r="O53" i="1" s="1"/>
  <c r="Y53" i="1" s="1"/>
  <c r="Q48" i="1"/>
  <c r="Q45" i="1" s="1"/>
  <c r="Q44" i="1"/>
  <c r="O44" i="1" s="1"/>
  <c r="Q41" i="1"/>
  <c r="Q40" i="1" s="1"/>
  <c r="Q36" i="1"/>
  <c r="Q35" i="1"/>
  <c r="Q34" i="1"/>
  <c r="P34" i="1"/>
  <c r="P31" i="1"/>
  <c r="P30" i="1"/>
  <c r="O28" i="1"/>
  <c r="O29" i="1"/>
  <c r="O30" i="1"/>
  <c r="O31" i="1"/>
  <c r="O32" i="1"/>
  <c r="Q26" i="1"/>
  <c r="O26" i="1" s="1"/>
  <c r="Y26" i="1" s="1"/>
  <c r="Q25" i="1"/>
  <c r="Q24" i="1"/>
  <c r="Q22" i="1"/>
  <c r="Q21" i="1"/>
  <c r="Q20" i="1"/>
  <c r="O20" i="1" s="1"/>
  <c r="Q19" i="1"/>
  <c r="Q18" i="1"/>
  <c r="Q17" i="1" s="1"/>
  <c r="Q15" i="1"/>
  <c r="Q14" i="1"/>
  <c r="Q13" i="1"/>
  <c r="Q12" i="1"/>
  <c r="Q11" i="1"/>
  <c r="O95" i="1"/>
  <c r="Y95" i="1" s="1"/>
  <c r="O126" i="1"/>
  <c r="Y126" i="1" s="1"/>
  <c r="P153" i="1"/>
  <c r="O142" i="1"/>
  <c r="R102" i="1"/>
  <c r="M177" i="1"/>
  <c r="M174" i="1"/>
  <c r="K174" i="1" s="1"/>
  <c r="M173" i="1"/>
  <c r="K167" i="1"/>
  <c r="G167" i="1"/>
  <c r="L162" i="1"/>
  <c r="K162" i="1" s="1"/>
  <c r="M158" i="1"/>
  <c r="K158" i="1" s="1"/>
  <c r="M156" i="1"/>
  <c r="K156" i="1" s="1"/>
  <c r="W156" i="1" s="1"/>
  <c r="M155" i="1"/>
  <c r="V128" i="1"/>
  <c r="V125" i="1" s="1"/>
  <c r="M129" i="1"/>
  <c r="M124" i="1"/>
  <c r="K124" i="1" s="1"/>
  <c r="K123" i="1"/>
  <c r="L119" i="1"/>
  <c r="K121" i="1"/>
  <c r="M114" i="1"/>
  <c r="K96" i="1"/>
  <c r="K94" i="1"/>
  <c r="V169" i="1"/>
  <c r="N169" i="1"/>
  <c r="L169" i="1"/>
  <c r="K169" i="1" s="1"/>
  <c r="N154" i="1"/>
  <c r="N153" i="1"/>
  <c r="V142" i="1"/>
  <c r="N142" i="1"/>
  <c r="M142" i="1"/>
  <c r="K142" i="1"/>
  <c r="L142" i="1"/>
  <c r="V140" i="1"/>
  <c r="V139" i="1" s="1"/>
  <c r="N140" i="1"/>
  <c r="M140" i="1"/>
  <c r="M139" i="1" s="1"/>
  <c r="L140" i="1"/>
  <c r="L139" i="1" s="1"/>
  <c r="K139" i="1" s="1"/>
  <c r="V133" i="1"/>
  <c r="N133" i="1"/>
  <c r="M133" i="1"/>
  <c r="L133" i="1"/>
  <c r="K133" i="1"/>
  <c r="N128" i="1"/>
  <c r="L128" i="1"/>
  <c r="V126" i="1"/>
  <c r="N126" i="1"/>
  <c r="N125" i="1" s="1"/>
  <c r="M126" i="1"/>
  <c r="K126" i="1" s="1"/>
  <c r="W126" i="1" s="1"/>
  <c r="L126" i="1"/>
  <c r="V122" i="1"/>
  <c r="N122" i="1"/>
  <c r="M122" i="1"/>
  <c r="L122" i="1"/>
  <c r="L102" i="1" s="1"/>
  <c r="V119" i="1"/>
  <c r="N119" i="1"/>
  <c r="N102" i="1" s="1"/>
  <c r="M119" i="1"/>
  <c r="M117" i="1"/>
  <c r="L117" i="1"/>
  <c r="K117" i="1" s="1"/>
  <c r="N113" i="1"/>
  <c r="M113" i="1"/>
  <c r="L113" i="1"/>
  <c r="V109" i="1"/>
  <c r="N109" i="1"/>
  <c r="M109" i="1"/>
  <c r="L109" i="1"/>
  <c r="N103" i="1"/>
  <c r="M103" i="1"/>
  <c r="L103" i="1"/>
  <c r="K103" i="1" s="1"/>
  <c r="N95" i="1"/>
  <c r="M95" i="1"/>
  <c r="L95" i="1"/>
  <c r="N93" i="1"/>
  <c r="M93" i="1"/>
  <c r="L93" i="1"/>
  <c r="K93" i="1" s="1"/>
  <c r="N89" i="1"/>
  <c r="M89" i="1"/>
  <c r="L89" i="1"/>
  <c r="K89" i="1" s="1"/>
  <c r="N85" i="1"/>
  <c r="M85" i="1"/>
  <c r="L85" i="1"/>
  <c r="N83" i="1"/>
  <c r="M83" i="1"/>
  <c r="L83" i="1"/>
  <c r="N77" i="1"/>
  <c r="M77" i="1"/>
  <c r="M76" i="1" s="1"/>
  <c r="L77" i="1"/>
  <c r="K77" i="1" s="1"/>
  <c r="V66" i="1"/>
  <c r="T62" i="1"/>
  <c r="T145" i="1"/>
  <c r="V58" i="1"/>
  <c r="V56" i="1"/>
  <c r="T56" i="1"/>
  <c r="S56" i="1" s="1"/>
  <c r="W56" i="1" s="1"/>
  <c r="V49" i="1"/>
  <c r="T49" i="1"/>
  <c r="R49" i="1"/>
  <c r="R9" i="1" s="1"/>
  <c r="V45" i="1"/>
  <c r="V43" i="1"/>
  <c r="V40" i="1"/>
  <c r="V33" i="1"/>
  <c r="V17" i="1"/>
  <c r="N66" i="1"/>
  <c r="M64" i="1"/>
  <c r="L64" i="1"/>
  <c r="L58" i="1"/>
  <c r="K58" i="1" s="1"/>
  <c r="N45" i="1"/>
  <c r="M45" i="1"/>
  <c r="K45" i="1" s="1"/>
  <c r="L45" i="1"/>
  <c r="N43" i="1"/>
  <c r="M43" i="1"/>
  <c r="L43" i="1"/>
  <c r="N40" i="1"/>
  <c r="M40" i="1"/>
  <c r="L40" i="1"/>
  <c r="K40" i="1" s="1"/>
  <c r="N33" i="1"/>
  <c r="M33" i="1"/>
  <c r="L33" i="1"/>
  <c r="N17" i="1"/>
  <c r="M17" i="1"/>
  <c r="M9" i="1" s="1"/>
  <c r="L17" i="1"/>
  <c r="H17" i="1"/>
  <c r="K30" i="1"/>
  <c r="G30" i="1"/>
  <c r="M68" i="1"/>
  <c r="M66" i="1" s="1"/>
  <c r="L68" i="1"/>
  <c r="M65" i="1"/>
  <c r="K65" i="1" s="1"/>
  <c r="K32" i="1"/>
  <c r="M28" i="1"/>
  <c r="K28" i="1" s="1"/>
  <c r="K29" i="1"/>
  <c r="K31" i="1"/>
  <c r="M22" i="1"/>
  <c r="H145" i="1"/>
  <c r="H151" i="1"/>
  <c r="I148" i="1"/>
  <c r="H148" i="1"/>
  <c r="G148" i="1" s="1"/>
  <c r="U149" i="1"/>
  <c r="S149" i="1" s="1"/>
  <c r="O149" i="1"/>
  <c r="K149" i="1"/>
  <c r="G149" i="1"/>
  <c r="H135" i="1"/>
  <c r="H137" i="1"/>
  <c r="V137" i="1"/>
  <c r="S137" i="1" s="1"/>
  <c r="W137" i="1" s="1"/>
  <c r="U137" i="1"/>
  <c r="T137" i="1"/>
  <c r="R137" i="1"/>
  <c r="Q137" i="1"/>
  <c r="P137" i="1"/>
  <c r="O137" i="1" s="1"/>
  <c r="Y137" i="1" s="1"/>
  <c r="N137" i="1"/>
  <c r="M137" i="1"/>
  <c r="L137" i="1"/>
  <c r="K137" i="1"/>
  <c r="J137" i="1"/>
  <c r="I137" i="1"/>
  <c r="G137" i="1" s="1"/>
  <c r="I122" i="1"/>
  <c r="G122" i="1" s="1"/>
  <c r="J122" i="1"/>
  <c r="H122" i="1"/>
  <c r="G123" i="1"/>
  <c r="G124" i="1"/>
  <c r="I119" i="1"/>
  <c r="J119" i="1"/>
  <c r="H119" i="1"/>
  <c r="G121" i="1"/>
  <c r="H113" i="1"/>
  <c r="G113" i="1" s="1"/>
  <c r="J109" i="1"/>
  <c r="I109" i="1"/>
  <c r="I102" i="1" s="1"/>
  <c r="H109" i="1"/>
  <c r="G111" i="1"/>
  <c r="G96" i="1"/>
  <c r="I95" i="1"/>
  <c r="J95" i="1"/>
  <c r="H95" i="1"/>
  <c r="I93" i="1"/>
  <c r="G93" i="1" s="1"/>
  <c r="J93" i="1"/>
  <c r="H93" i="1"/>
  <c r="I89" i="1"/>
  <c r="J89" i="1"/>
  <c r="H89" i="1"/>
  <c r="H85" i="1"/>
  <c r="G94" i="1"/>
  <c r="S92" i="1"/>
  <c r="O92" i="1"/>
  <c r="K92" i="1"/>
  <c r="G92" i="1"/>
  <c r="G87" i="1"/>
  <c r="G88" i="1"/>
  <c r="G75" i="1"/>
  <c r="G74" i="1" s="1"/>
  <c r="G73" i="1"/>
  <c r="J74" i="1"/>
  <c r="I74" i="1"/>
  <c r="H74" i="1"/>
  <c r="J72" i="1"/>
  <c r="I72" i="1"/>
  <c r="H72" i="1"/>
  <c r="G72" i="1"/>
  <c r="Y73" i="1"/>
  <c r="W73" i="1"/>
  <c r="G71" i="1"/>
  <c r="G70" i="1" s="1"/>
  <c r="H70" i="1"/>
  <c r="I70" i="1"/>
  <c r="J70" i="1"/>
  <c r="J66" i="1"/>
  <c r="I66" i="1"/>
  <c r="H66" i="1"/>
  <c r="G68" i="1"/>
  <c r="G66" i="1" s="1"/>
  <c r="G69" i="1"/>
  <c r="G67" i="1"/>
  <c r="G65" i="1"/>
  <c r="I64" i="1"/>
  <c r="J64" i="1"/>
  <c r="J9" i="1" s="1"/>
  <c r="H64" i="1"/>
  <c r="I17" i="1"/>
  <c r="I9" i="1" s="1"/>
  <c r="J17" i="1"/>
  <c r="G31" i="1"/>
  <c r="G32" i="1"/>
  <c r="G28" i="1"/>
  <c r="G29" i="1"/>
  <c r="I113" i="1"/>
  <c r="N139" i="1"/>
  <c r="K113" i="1"/>
  <c r="Y92" i="1"/>
  <c r="K64" i="1"/>
  <c r="K83" i="1"/>
  <c r="K109" i="1"/>
  <c r="K122" i="1"/>
  <c r="K85" i="1"/>
  <c r="M102" i="1"/>
  <c r="L76" i="1"/>
  <c r="G95" i="1"/>
  <c r="G89" i="1"/>
  <c r="K127" i="1"/>
  <c r="G157" i="1"/>
  <c r="G158" i="1"/>
  <c r="G159" i="1"/>
  <c r="G160" i="1"/>
  <c r="G161" i="1"/>
  <c r="G155" i="1"/>
  <c r="U147" i="1"/>
  <c r="U145" i="1" s="1"/>
  <c r="I85" i="1"/>
  <c r="J85" i="1"/>
  <c r="O88" i="1"/>
  <c r="K88" i="1"/>
  <c r="T86" i="1"/>
  <c r="U58" i="1"/>
  <c r="U56" i="1"/>
  <c r="G57" i="1"/>
  <c r="S88" i="1"/>
  <c r="W88" i="1" s="1"/>
  <c r="Y88" i="1"/>
  <c r="U49" i="1"/>
  <c r="S49" i="1" s="1"/>
  <c r="W49" i="1" s="1"/>
  <c r="Y67" i="1"/>
  <c r="Y69" i="1"/>
  <c r="Y70" i="1"/>
  <c r="Y71" i="1"/>
  <c r="Y72" i="1"/>
  <c r="Y75" i="1"/>
  <c r="W67" i="1"/>
  <c r="W69" i="1"/>
  <c r="W70" i="1"/>
  <c r="W71" i="1"/>
  <c r="W72" i="1"/>
  <c r="W75" i="1"/>
  <c r="U62" i="1"/>
  <c r="G175" i="1"/>
  <c r="I169" i="1"/>
  <c r="Q163" i="1"/>
  <c r="O163" i="1" s="1"/>
  <c r="Y163" i="1" s="1"/>
  <c r="S131" i="1"/>
  <c r="K131" i="1"/>
  <c r="G131" i="1"/>
  <c r="O124" i="1"/>
  <c r="O120" i="1"/>
  <c r="G120" i="1"/>
  <c r="K120" i="1"/>
  <c r="I117" i="1"/>
  <c r="I77" i="1"/>
  <c r="I63" i="1"/>
  <c r="I62" i="1" s="1"/>
  <c r="H63" i="1"/>
  <c r="I40" i="1"/>
  <c r="G40" i="1" s="1"/>
  <c r="O35" i="1"/>
  <c r="Y35" i="1" s="1"/>
  <c r="K35" i="1"/>
  <c r="G21" i="1"/>
  <c r="G22" i="1"/>
  <c r="G23" i="1"/>
  <c r="N10" i="1"/>
  <c r="M10" i="1"/>
  <c r="L10" i="1"/>
  <c r="J10" i="1"/>
  <c r="I10" i="1"/>
  <c r="V151" i="1"/>
  <c r="T151" i="1"/>
  <c r="R151" i="1"/>
  <c r="R144" i="1" s="1"/>
  <c r="P151" i="1"/>
  <c r="P144" i="1" s="1"/>
  <c r="O144" i="1" s="1"/>
  <c r="N151" i="1"/>
  <c r="M151" i="1"/>
  <c r="L151" i="1"/>
  <c r="J151" i="1"/>
  <c r="I151" i="1"/>
  <c r="J148" i="1"/>
  <c r="V145" i="1"/>
  <c r="V144" i="1" s="1"/>
  <c r="R145" i="1"/>
  <c r="P145" i="1"/>
  <c r="N145" i="1"/>
  <c r="M145" i="1"/>
  <c r="L145" i="1"/>
  <c r="L144" i="1" s="1"/>
  <c r="J145" i="1"/>
  <c r="J144" i="1" s="1"/>
  <c r="I145" i="1"/>
  <c r="K152" i="1"/>
  <c r="G152" i="1"/>
  <c r="K150" i="1"/>
  <c r="G150" i="1"/>
  <c r="H133" i="1"/>
  <c r="J128" i="1"/>
  <c r="I128" i="1"/>
  <c r="H128" i="1"/>
  <c r="G128" i="1" s="1"/>
  <c r="V117" i="1"/>
  <c r="N117" i="1"/>
  <c r="J117" i="1"/>
  <c r="O118" i="1"/>
  <c r="K118" i="1"/>
  <c r="J77" i="1"/>
  <c r="H77" i="1"/>
  <c r="G77" i="1" s="1"/>
  <c r="S60" i="1"/>
  <c r="W60" i="1" s="1"/>
  <c r="K60" i="1"/>
  <c r="G60" i="1"/>
  <c r="H43" i="1"/>
  <c r="G43" i="1" s="1"/>
  <c r="J40" i="1"/>
  <c r="H40" i="1"/>
  <c r="J33" i="1"/>
  <c r="S20" i="1"/>
  <c r="S21" i="1"/>
  <c r="S23" i="1"/>
  <c r="O21" i="1"/>
  <c r="O22" i="1"/>
  <c r="K20" i="1"/>
  <c r="W20" i="1" s="1"/>
  <c r="K21" i="1"/>
  <c r="W21" i="1" s="1"/>
  <c r="K22" i="1"/>
  <c r="K23" i="1"/>
  <c r="W23" i="1" s="1"/>
  <c r="G20" i="1"/>
  <c r="G156" i="1"/>
  <c r="O60" i="1"/>
  <c r="Y60" i="1"/>
  <c r="Y20" i="1"/>
  <c r="H154" i="1"/>
  <c r="H153" i="1" s="1"/>
  <c r="Y22" i="1"/>
  <c r="Y21" i="1"/>
  <c r="Y44" i="1"/>
  <c r="G119" i="1"/>
  <c r="I33" i="1"/>
  <c r="G35" i="1"/>
  <c r="G27" i="1"/>
  <c r="G115" i="1"/>
  <c r="Q115" i="1"/>
  <c r="S115" i="1"/>
  <c r="W115" i="1" s="1"/>
  <c r="K115" i="1"/>
  <c r="S143" i="1"/>
  <c r="K143" i="1"/>
  <c r="S141" i="1"/>
  <c r="O141" i="1"/>
  <c r="Y141" i="1" s="1"/>
  <c r="K141" i="1"/>
  <c r="W141" i="1" s="1"/>
  <c r="S147" i="1"/>
  <c r="W147" i="1" s="1"/>
  <c r="O147" i="1"/>
  <c r="K147" i="1"/>
  <c r="G147" i="1"/>
  <c r="P36" i="1"/>
  <c r="O36" i="1" s="1"/>
  <c r="Y36" i="1" s="1"/>
  <c r="K175" i="1"/>
  <c r="G47" i="1"/>
  <c r="G48" i="1"/>
  <c r="G11" i="1"/>
  <c r="G12" i="1"/>
  <c r="S90" i="1"/>
  <c r="W143" i="1"/>
  <c r="O39" i="1"/>
  <c r="K39" i="1"/>
  <c r="G39" i="1"/>
  <c r="O158" i="1"/>
  <c r="I142" i="1"/>
  <c r="S130" i="1"/>
  <c r="W130" i="1" s="1"/>
  <c r="K106" i="1"/>
  <c r="K59" i="1"/>
  <c r="G59" i="1"/>
  <c r="H58" i="1"/>
  <c r="K51" i="1"/>
  <c r="W51" i="1" s="1"/>
  <c r="Q51" i="1"/>
  <c r="S51" i="1"/>
  <c r="N49" i="1"/>
  <c r="M49" i="1"/>
  <c r="L49" i="1"/>
  <c r="I49" i="1"/>
  <c r="J49" i="1"/>
  <c r="H49" i="1"/>
  <c r="G51" i="1"/>
  <c r="S26" i="1"/>
  <c r="W26" i="1" s="1"/>
  <c r="K26" i="1"/>
  <c r="G26" i="1"/>
  <c r="S57" i="1"/>
  <c r="W57" i="1" s="1"/>
  <c r="K57" i="1"/>
  <c r="N56" i="1"/>
  <c r="K56" i="1" s="1"/>
  <c r="M56" i="1"/>
  <c r="L56" i="1"/>
  <c r="J56" i="1"/>
  <c r="I56" i="1"/>
  <c r="H56" i="1"/>
  <c r="S53" i="1"/>
  <c r="O23" i="1"/>
  <c r="Y23" i="1" s="1"/>
  <c r="P130" i="1"/>
  <c r="P128" i="1"/>
  <c r="P125" i="1" s="1"/>
  <c r="O51" i="1"/>
  <c r="Y51" i="1"/>
  <c r="Q49" i="1"/>
  <c r="Y39" i="1"/>
  <c r="O34" i="1"/>
  <c r="G56" i="1"/>
  <c r="Q91" i="1"/>
  <c r="O91" i="1" s="1"/>
  <c r="Y91" i="1" s="1"/>
  <c r="S91" i="1"/>
  <c r="S112" i="1"/>
  <c r="K91" i="1"/>
  <c r="G91" i="1"/>
  <c r="I133" i="1"/>
  <c r="J133" i="1"/>
  <c r="K134" i="1"/>
  <c r="G134" i="1"/>
  <c r="S134" i="1"/>
  <c r="W134" i="1" s="1"/>
  <c r="O130" i="1"/>
  <c r="Y130" i="1"/>
  <c r="K130" i="1"/>
  <c r="G130" i="1"/>
  <c r="S116" i="1"/>
  <c r="W116" i="1" s="1"/>
  <c r="K116" i="1"/>
  <c r="J113" i="1"/>
  <c r="G116" i="1"/>
  <c r="K112" i="1"/>
  <c r="G112" i="1"/>
  <c r="O107" i="1"/>
  <c r="S107" i="1"/>
  <c r="K107" i="1"/>
  <c r="W107" i="1" s="1"/>
  <c r="G107" i="1"/>
  <c r="V62" i="1"/>
  <c r="S62" i="1" s="1"/>
  <c r="R62" i="1"/>
  <c r="N62" i="1"/>
  <c r="L62" i="1"/>
  <c r="K62" i="1" s="1"/>
  <c r="M62" i="1"/>
  <c r="J62" i="1"/>
  <c r="I45" i="1"/>
  <c r="J45" i="1"/>
  <c r="H45" i="1"/>
  <c r="O48" i="1"/>
  <c r="K48" i="1"/>
  <c r="O42" i="1"/>
  <c r="Y42" i="1"/>
  <c r="K42" i="1"/>
  <c r="W42" i="1" s="1"/>
  <c r="G42" i="1"/>
  <c r="S37" i="1"/>
  <c r="W37" i="1" s="1"/>
  <c r="O38" i="1"/>
  <c r="G36" i="1"/>
  <c r="G37" i="1"/>
  <c r="K36" i="1"/>
  <c r="K37" i="1"/>
  <c r="O37" i="1"/>
  <c r="K34" i="1"/>
  <c r="K38" i="1"/>
  <c r="G38" i="1"/>
  <c r="P25" i="1"/>
  <c r="O25" i="1"/>
  <c r="Y25" i="1" s="1"/>
  <c r="P24" i="1"/>
  <c r="P17" i="1" s="1"/>
  <c r="O17" i="1" s="1"/>
  <c r="P12" i="1"/>
  <c r="O12" i="1" s="1"/>
  <c r="Y12" i="1" s="1"/>
  <c r="P13" i="1"/>
  <c r="O13" i="1" s="1"/>
  <c r="Y13" i="1" s="1"/>
  <c r="P14" i="1"/>
  <c r="P15" i="1"/>
  <c r="O15" i="1" s="1"/>
  <c r="Y15" i="1" s="1"/>
  <c r="P11" i="1"/>
  <c r="O11" i="1" s="1"/>
  <c r="K25" i="1"/>
  <c r="G25" i="1"/>
  <c r="H10" i="1"/>
  <c r="S16" i="1"/>
  <c r="K16" i="1"/>
  <c r="W16" i="1" s="1"/>
  <c r="G16" i="1"/>
  <c r="S13" i="1"/>
  <c r="W13" i="1" s="1"/>
  <c r="S14" i="1"/>
  <c r="W14" i="1" s="1"/>
  <c r="S15" i="1"/>
  <c r="W15" i="1" s="1"/>
  <c r="K13" i="1"/>
  <c r="K14" i="1"/>
  <c r="K15" i="1"/>
  <c r="G13" i="1"/>
  <c r="G14" i="1"/>
  <c r="G15" i="1"/>
  <c r="K12" i="1"/>
  <c r="Y38" i="1"/>
  <c r="W91" i="1"/>
  <c r="W112" i="1"/>
  <c r="Y107" i="1"/>
  <c r="Y37" i="1"/>
  <c r="W25" i="1"/>
  <c r="W38" i="1"/>
  <c r="G10" i="1"/>
  <c r="O116" i="1"/>
  <c r="Y116" i="1" s="1"/>
  <c r="O112" i="1"/>
  <c r="Y112" i="1" s="1"/>
  <c r="O14" i="1"/>
  <c r="K10" i="1"/>
  <c r="Q145" i="1"/>
  <c r="P18" i="1"/>
  <c r="J154" i="1"/>
  <c r="S168" i="1"/>
  <c r="O168" i="1"/>
  <c r="K168" i="1"/>
  <c r="G168" i="1"/>
  <c r="O90" i="1"/>
  <c r="Y90" i="1" s="1"/>
  <c r="K90" i="1"/>
  <c r="W90" i="1" s="1"/>
  <c r="G90" i="1"/>
  <c r="S61" i="1"/>
  <c r="O61" i="1"/>
  <c r="Y61" i="1" s="1"/>
  <c r="K61" i="1"/>
  <c r="M58" i="1"/>
  <c r="N58" i="1"/>
  <c r="I58" i="1"/>
  <c r="J58" i="1"/>
  <c r="G61" i="1"/>
  <c r="Y168" i="1"/>
  <c r="W168" i="1"/>
  <c r="W61" i="1"/>
  <c r="G58" i="1"/>
  <c r="G146" i="1"/>
  <c r="H169" i="1"/>
  <c r="G169" i="1" s="1"/>
  <c r="S146" i="1"/>
  <c r="W146" i="1" s="1"/>
  <c r="O146" i="1"/>
  <c r="K146" i="1"/>
  <c r="S50" i="1"/>
  <c r="W50" i="1" s="1"/>
  <c r="G174" i="1"/>
  <c r="S163" i="1"/>
  <c r="S164" i="1"/>
  <c r="S165" i="1"/>
  <c r="W165" i="1" s="1"/>
  <c r="O164" i="1"/>
  <c r="Y164" i="1" s="1"/>
  <c r="O165" i="1"/>
  <c r="Y165" i="1" s="1"/>
  <c r="O157" i="1"/>
  <c r="O136" i="1"/>
  <c r="O106" i="1"/>
  <c r="Y106" i="1" s="1"/>
  <c r="O108" i="1"/>
  <c r="S106" i="1"/>
  <c r="W106" i="1" s="1"/>
  <c r="S108" i="1"/>
  <c r="P55" i="1"/>
  <c r="O55" i="1" s="1"/>
  <c r="Y55" i="1" s="1"/>
  <c r="O54" i="1"/>
  <c r="O46" i="1"/>
  <c r="K44" i="1"/>
  <c r="K50" i="1"/>
  <c r="K86" i="1"/>
  <c r="K177" i="1"/>
  <c r="K105" i="1"/>
  <c r="K108" i="1"/>
  <c r="K104" i="1"/>
  <c r="K166" i="1"/>
  <c r="K157" i="1"/>
  <c r="W157" i="1" s="1"/>
  <c r="K159" i="1"/>
  <c r="K160" i="1"/>
  <c r="K161" i="1"/>
  <c r="K163" i="1"/>
  <c r="K164" i="1"/>
  <c r="K165" i="1"/>
  <c r="S127" i="1"/>
  <c r="W127" i="1"/>
  <c r="O127" i="1"/>
  <c r="K114" i="1"/>
  <c r="K80" i="1"/>
  <c r="W80" i="1" s="1"/>
  <c r="K81" i="1"/>
  <c r="K82" i="1"/>
  <c r="K78" i="1"/>
  <c r="K84" i="1"/>
  <c r="K47" i="1"/>
  <c r="K46" i="1"/>
  <c r="W46" i="1" s="1"/>
  <c r="K41" i="1"/>
  <c r="O114" i="1"/>
  <c r="K27" i="1"/>
  <c r="S24" i="1"/>
  <c r="W24" i="1" s="1"/>
  <c r="O24" i="1"/>
  <c r="Y24" i="1" s="1"/>
  <c r="K19" i="1"/>
  <c r="K24" i="1"/>
  <c r="K18" i="1"/>
  <c r="W18" i="1" s="1"/>
  <c r="K11" i="1"/>
  <c r="K176" i="1"/>
  <c r="K173" i="1"/>
  <c r="K172" i="1"/>
  <c r="K171" i="1"/>
  <c r="K170" i="1"/>
  <c r="S156" i="1"/>
  <c r="S157" i="1"/>
  <c r="G177" i="1"/>
  <c r="G176" i="1"/>
  <c r="G163" i="1"/>
  <c r="G164" i="1"/>
  <c r="G165" i="1"/>
  <c r="S136" i="1"/>
  <c r="W136" i="1" s="1"/>
  <c r="K136" i="1"/>
  <c r="G136" i="1"/>
  <c r="R135" i="1"/>
  <c r="O135" i="1" s="1"/>
  <c r="Y135" i="1" s="1"/>
  <c r="Q135" i="1"/>
  <c r="P135" i="1"/>
  <c r="N135" i="1"/>
  <c r="M135" i="1"/>
  <c r="L135" i="1"/>
  <c r="L125" i="1"/>
  <c r="J135" i="1"/>
  <c r="J125" i="1" s="1"/>
  <c r="I135" i="1"/>
  <c r="K132" i="1"/>
  <c r="W132" i="1" s="1"/>
  <c r="S132" i="1"/>
  <c r="G132" i="1"/>
  <c r="I103" i="1"/>
  <c r="J103" i="1"/>
  <c r="J102" i="1" s="1"/>
  <c r="H103" i="1"/>
  <c r="G105" i="1"/>
  <c r="G106" i="1"/>
  <c r="G108" i="1"/>
  <c r="S86" i="1"/>
  <c r="O86" i="1"/>
  <c r="G86" i="1"/>
  <c r="K63" i="1"/>
  <c r="W63" i="1" s="1"/>
  <c r="S54" i="1"/>
  <c r="W54" i="1" s="1"/>
  <c r="K53" i="1"/>
  <c r="W53" i="1" s="1"/>
  <c r="K55" i="1"/>
  <c r="W55" i="1" s="1"/>
  <c r="K54" i="1"/>
  <c r="N52" i="1"/>
  <c r="M52" i="1"/>
  <c r="K52" i="1" s="1"/>
  <c r="L52" i="1"/>
  <c r="J52" i="1"/>
  <c r="I52" i="1"/>
  <c r="H52" i="1"/>
  <c r="G55" i="1"/>
  <c r="G54" i="1"/>
  <c r="G53" i="1"/>
  <c r="G50" i="1"/>
  <c r="G41" i="1"/>
  <c r="G24" i="1"/>
  <c r="S104" i="1"/>
  <c r="S155" i="1"/>
  <c r="S172" i="1"/>
  <c r="S170" i="1"/>
  <c r="S166" i="1"/>
  <c r="O166" i="1"/>
  <c r="Y166" i="1" s="1"/>
  <c r="S162" i="1"/>
  <c r="O162" i="1"/>
  <c r="Y162" i="1" s="1"/>
  <c r="S84" i="1"/>
  <c r="O84" i="1"/>
  <c r="S82" i="1"/>
  <c r="W82" i="1" s="1"/>
  <c r="S81" i="1"/>
  <c r="S80" i="1"/>
  <c r="S78" i="1"/>
  <c r="S63" i="1"/>
  <c r="O63" i="1"/>
  <c r="S47" i="1"/>
  <c r="Y47" i="1" s="1"/>
  <c r="O47" i="1"/>
  <c r="S46" i="1"/>
  <c r="O19" i="1"/>
  <c r="S18" i="1"/>
  <c r="O18" i="1"/>
  <c r="Y18" i="1" s="1"/>
  <c r="S11" i="1"/>
  <c r="W11" i="1" s="1"/>
  <c r="Y11" i="1"/>
  <c r="G49" i="1"/>
  <c r="J43" i="1"/>
  <c r="J169" i="1"/>
  <c r="J153" i="1"/>
  <c r="H142" i="1"/>
  <c r="J142" i="1"/>
  <c r="H140" i="1"/>
  <c r="J140" i="1"/>
  <c r="I140" i="1"/>
  <c r="I139" i="1" s="1"/>
  <c r="H126" i="1"/>
  <c r="H125" i="1" s="1"/>
  <c r="J126" i="1"/>
  <c r="I126" i="1"/>
  <c r="G126" i="1" s="1"/>
  <c r="H83" i="1"/>
  <c r="G83" i="1" s="1"/>
  <c r="J83" i="1"/>
  <c r="J76" i="1" s="1"/>
  <c r="I83" i="1"/>
  <c r="I76" i="1" s="1"/>
  <c r="G45" i="1"/>
  <c r="I43" i="1"/>
  <c r="G19" i="1"/>
  <c r="G46" i="1"/>
  <c r="G84" i="1"/>
  <c r="G162" i="1"/>
  <c r="G127" i="1"/>
  <c r="G166" i="1"/>
  <c r="G172" i="1"/>
  <c r="G104" i="1"/>
  <c r="G82" i="1"/>
  <c r="G78" i="1"/>
  <c r="G143" i="1"/>
  <c r="G170" i="1"/>
  <c r="G171" i="1"/>
  <c r="G173" i="1"/>
  <c r="G141" i="1"/>
  <c r="G114" i="1"/>
  <c r="G80" i="1"/>
  <c r="G81" i="1"/>
  <c r="G18" i="1"/>
  <c r="S114" i="1"/>
  <c r="Y157" i="1"/>
  <c r="W84" i="1"/>
  <c r="W78" i="1"/>
  <c r="Y127" i="1"/>
  <c r="W172" i="1"/>
  <c r="Y63" i="1"/>
  <c r="Y174" i="1"/>
  <c r="W170" i="1"/>
  <c r="W166" i="1"/>
  <c r="W162" i="1"/>
  <c r="W164" i="1"/>
  <c r="W163" i="1"/>
  <c r="Y114" i="1"/>
  <c r="W114" i="1"/>
  <c r="Y108" i="1"/>
  <c r="W104" i="1"/>
  <c r="W86" i="1"/>
  <c r="Y86" i="1"/>
  <c r="W47" i="1"/>
  <c r="Y46" i="1"/>
  <c r="J139" i="1"/>
  <c r="H139" i="1"/>
  <c r="G139" i="1" s="1"/>
  <c r="K110" i="1"/>
  <c r="I154" i="1"/>
  <c r="G154" i="1"/>
  <c r="G52" i="1"/>
  <c r="G110" i="1"/>
  <c r="O171" i="1"/>
  <c r="G79" i="1"/>
  <c r="O104" i="1"/>
  <c r="Y104" i="1" s="1"/>
  <c r="O82" i="1"/>
  <c r="Y82" i="1" s="1"/>
  <c r="O81" i="1"/>
  <c r="Y81" i="1" s="1"/>
  <c r="O50" i="1"/>
  <c r="Y50" i="1" s="1"/>
  <c r="G85" i="1"/>
  <c r="G140" i="1"/>
  <c r="G142" i="1"/>
  <c r="O132" i="1"/>
  <c r="Y132" i="1"/>
  <c r="G103" i="1"/>
  <c r="G133" i="1"/>
  <c r="K49" i="1"/>
  <c r="G44" i="1"/>
  <c r="K79" i="1"/>
  <c r="S79" i="1"/>
  <c r="O156" i="1"/>
  <c r="Y156" i="1"/>
  <c r="K135" i="1"/>
  <c r="S135" i="1"/>
  <c r="W135" i="1" s="1"/>
  <c r="S110" i="1"/>
  <c r="W110" i="1" s="1"/>
  <c r="V72" i="1"/>
  <c r="V9" i="1"/>
  <c r="W79" i="1"/>
  <c r="I153" i="1"/>
  <c r="K33" i="1"/>
  <c r="O110" i="1"/>
  <c r="Y110" i="1" s="1"/>
  <c r="K148" i="1"/>
  <c r="G153" i="1"/>
  <c r="S105" i="1"/>
  <c r="Y105" i="1" s="1"/>
  <c r="O145" i="1"/>
  <c r="O105" i="1"/>
  <c r="Y103" i="1"/>
  <c r="G145" i="1"/>
  <c r="H117" i="1"/>
  <c r="G118" i="1"/>
  <c r="G117" i="1"/>
  <c r="G34" i="1"/>
  <c r="H33" i="1"/>
  <c r="G33" i="1" s="1"/>
  <c r="S59" i="1"/>
  <c r="W59" i="1" s="1"/>
  <c r="O59" i="1"/>
  <c r="S12" i="1"/>
  <c r="W12" i="1"/>
  <c r="O27" i="1"/>
  <c r="S27" i="1"/>
  <c r="W27" i="1" s="1"/>
  <c r="S55" i="1"/>
  <c r="O150" i="1"/>
  <c r="Y150" i="1" s="1"/>
  <c r="U150" i="1"/>
  <c r="S150" i="1"/>
  <c r="W150" i="1" s="1"/>
  <c r="O148" i="1"/>
  <c r="O152" i="1"/>
  <c r="U152" i="1"/>
  <c r="S152" i="1" s="1"/>
  <c r="W152" i="1" s="1"/>
  <c r="Q151" i="1"/>
  <c r="Q144" i="1"/>
  <c r="O151" i="1"/>
  <c r="Y152" i="1"/>
  <c r="U151" i="1"/>
  <c r="O161" i="1"/>
  <c r="Y161" i="1" s="1"/>
  <c r="S161" i="1"/>
  <c r="W161" i="1" s="1"/>
  <c r="O159" i="1"/>
  <c r="S159" i="1"/>
  <c r="Y159" i="1"/>
  <c r="W159" i="1"/>
  <c r="O160" i="1"/>
  <c r="Y160" i="1" s="1"/>
  <c r="S160" i="1"/>
  <c r="W160" i="1"/>
  <c r="O175" i="1"/>
  <c r="Y175" i="1" s="1"/>
  <c r="O176" i="1"/>
  <c r="Y176" i="1"/>
  <c r="O177" i="1"/>
  <c r="Y177" i="1" s="1"/>
  <c r="S177" i="1"/>
  <c r="W177" i="1" s="1"/>
  <c r="J8" i="1" l="1"/>
  <c r="Y142" i="1"/>
  <c r="S128" i="1"/>
  <c r="Y146" i="1"/>
  <c r="G64" i="1"/>
  <c r="Y41" i="1"/>
  <c r="O140" i="1"/>
  <c r="P139" i="1"/>
  <c r="O139" i="1" s="1"/>
  <c r="H76" i="1"/>
  <c r="G76" i="1" s="1"/>
  <c r="Y136" i="1"/>
  <c r="W108" i="1"/>
  <c r="Y17" i="1"/>
  <c r="Y147" i="1"/>
  <c r="M128" i="1"/>
  <c r="M125" i="1" s="1"/>
  <c r="K125" i="1" s="1"/>
  <c r="K129" i="1"/>
  <c r="P76" i="1"/>
  <c r="O78" i="1"/>
  <c r="Y78" i="1" s="1"/>
  <c r="Q77" i="1"/>
  <c r="T139" i="1"/>
  <c r="S139" i="1" s="1"/>
  <c r="W139" i="1" s="1"/>
  <c r="S140" i="1"/>
  <c r="W140" i="1" s="1"/>
  <c r="K155" i="1"/>
  <c r="M154" i="1"/>
  <c r="M153" i="1" s="1"/>
  <c r="W2" i="1"/>
  <c r="Q169" i="1"/>
  <c r="O169" i="1" s="1"/>
  <c r="W131" i="1"/>
  <c r="N9" i="1"/>
  <c r="K43" i="1"/>
  <c r="Y158" i="1"/>
  <c r="W158" i="1"/>
  <c r="Y27" i="1"/>
  <c r="W22" i="1"/>
  <c r="U153" i="1"/>
  <c r="S119" i="1"/>
  <c r="T9" i="1"/>
  <c r="U148" i="1"/>
  <c r="O134" i="1"/>
  <c r="Y134" i="1" s="1"/>
  <c r="Q133" i="1"/>
  <c r="L66" i="1"/>
  <c r="K68" i="1"/>
  <c r="K66" i="1" s="1"/>
  <c r="T64" i="1"/>
  <c r="S64" i="1" s="1"/>
  <c r="W64" i="1" s="1"/>
  <c r="S65" i="1"/>
  <c r="O56" i="1"/>
  <c r="Y56" i="1" s="1"/>
  <c r="S43" i="1"/>
  <c r="W43" i="1" s="1"/>
  <c r="S68" i="1"/>
  <c r="T66" i="1"/>
  <c r="I125" i="1"/>
  <c r="G125" i="1" s="1"/>
  <c r="G135" i="1"/>
  <c r="Q125" i="1"/>
  <c r="O125" i="1" s="1"/>
  <c r="Y125" i="1" s="1"/>
  <c r="W117" i="1"/>
  <c r="S154" i="1"/>
  <c r="W58" i="1"/>
  <c r="W155" i="1"/>
  <c r="K151" i="1"/>
  <c r="G17" i="1"/>
  <c r="K119" i="1"/>
  <c r="R125" i="1"/>
  <c r="R8" i="1" s="1"/>
  <c r="U119" i="1"/>
  <c r="U169" i="1"/>
  <c r="S169" i="1" s="1"/>
  <c r="W169" i="1" s="1"/>
  <c r="S85" i="1"/>
  <c r="W85" i="1" s="1"/>
  <c r="M144" i="1"/>
  <c r="K144" i="1" s="1"/>
  <c r="L9" i="1"/>
  <c r="K95" i="1"/>
  <c r="W95" i="1" s="1"/>
  <c r="Q128" i="1"/>
  <c r="O128" i="1" s="1"/>
  <c r="Y128" i="1" s="1"/>
  <c r="O155" i="1"/>
  <c r="Y155" i="1" s="1"/>
  <c r="Q154" i="1"/>
  <c r="W34" i="1"/>
  <c r="S33" i="1"/>
  <c r="W33" i="1" s="1"/>
  <c r="Y34" i="1"/>
  <c r="S125" i="1"/>
  <c r="Y45" i="1"/>
  <c r="W83" i="1"/>
  <c r="N144" i="1"/>
  <c r="O83" i="1"/>
  <c r="Y83" i="1" s="1"/>
  <c r="W35" i="1"/>
  <c r="W174" i="1"/>
  <c r="S77" i="1"/>
  <c r="W77" i="1" s="1"/>
  <c r="T76" i="1"/>
  <c r="S76" i="1" s="1"/>
  <c r="S145" i="1"/>
  <c r="W145" i="1" s="1"/>
  <c r="U144" i="1"/>
  <c r="S144" i="1" s="1"/>
  <c r="O115" i="1"/>
  <c r="Y115" i="1" s="1"/>
  <c r="Q113" i="1"/>
  <c r="O113" i="1" s="1"/>
  <c r="Y113" i="1" s="1"/>
  <c r="H62" i="1"/>
  <c r="G63" i="1"/>
  <c r="Y14" i="1"/>
  <c r="O57" i="1"/>
  <c r="Y57" i="1" s="1"/>
  <c r="G109" i="1"/>
  <c r="H102" i="1"/>
  <c r="G102" i="1" s="1"/>
  <c r="K102" i="1"/>
  <c r="Q102" i="1"/>
  <c r="O133" i="1"/>
  <c r="Y133" i="1" s="1"/>
  <c r="S124" i="1"/>
  <c r="W124" i="1" s="1"/>
  <c r="U122" i="1"/>
  <c r="S122" i="1" s="1"/>
  <c r="U102" i="1"/>
  <c r="S102" i="1" s="1"/>
  <c r="W102" i="1" s="1"/>
  <c r="W52" i="1"/>
  <c r="U76" i="1"/>
  <c r="W176" i="1"/>
  <c r="O66" i="1"/>
  <c r="Y54" i="1"/>
  <c r="W81" i="1"/>
  <c r="S148" i="1"/>
  <c r="W148" i="1" s="1"/>
  <c r="Y84" i="1"/>
  <c r="G151" i="1"/>
  <c r="N76" i="1"/>
  <c r="K76" i="1" s="1"/>
  <c r="O85" i="1"/>
  <c r="Y85" i="1" s="1"/>
  <c r="V102" i="1"/>
  <c r="V8" i="1" s="1"/>
  <c r="R76" i="1"/>
  <c r="W105" i="1"/>
  <c r="W62" i="1"/>
  <c r="O49" i="1"/>
  <c r="Y49" i="1" s="1"/>
  <c r="I144" i="1"/>
  <c r="S151" i="1"/>
  <c r="W151" i="1" s="1"/>
  <c r="W92" i="1"/>
  <c r="H144" i="1"/>
  <c r="G144" i="1" s="1"/>
  <c r="U33" i="1"/>
  <c r="U9" i="1" s="1"/>
  <c r="U8" i="1" s="1"/>
  <c r="P102" i="1"/>
  <c r="P33" i="1"/>
  <c r="O33" i="1" s="1"/>
  <c r="Y33" i="1" s="1"/>
  <c r="P52" i="1"/>
  <c r="K17" i="1"/>
  <c r="W17" i="1" s="1"/>
  <c r="Q10" i="1"/>
  <c r="Q52" i="1"/>
  <c r="P10" i="1"/>
  <c r="L154" i="1"/>
  <c r="S19" i="1"/>
  <c r="S48" i="1"/>
  <c r="O143" i="1"/>
  <c r="Y143" i="1" s="1"/>
  <c r="S118" i="1"/>
  <c r="S171" i="1"/>
  <c r="T153" i="1"/>
  <c r="Y59" i="1"/>
  <c r="K140" i="1"/>
  <c r="K145" i="1"/>
  <c r="S120" i="1"/>
  <c r="S41" i="1"/>
  <c r="W122" i="1" l="1"/>
  <c r="Y122" i="1"/>
  <c r="O10" i="1"/>
  <c r="Y10" i="1" s="1"/>
  <c r="P9" i="1"/>
  <c r="O77" i="1"/>
  <c r="Y77" i="1" s="1"/>
  <c r="Q76" i="1"/>
  <c r="Y140" i="1"/>
  <c r="W41" i="1"/>
  <c r="S40" i="1"/>
  <c r="O102" i="1"/>
  <c r="Y102" i="1" s="1"/>
  <c r="W144" i="1"/>
  <c r="Y144" i="1"/>
  <c r="I8" i="1"/>
  <c r="M181" i="1" s="1"/>
  <c r="W76" i="1"/>
  <c r="K9" i="1"/>
  <c r="L8" i="1"/>
  <c r="K8" i="1" s="1"/>
  <c r="Y148" i="1"/>
  <c r="Y64" i="1"/>
  <c r="W119" i="1"/>
  <c r="Y119" i="1"/>
  <c r="W120" i="1"/>
  <c r="Y120" i="1"/>
  <c r="Y145" i="1"/>
  <c r="Y124" i="1"/>
  <c r="W65" i="1"/>
  <c r="Y65" i="1"/>
  <c r="W171" i="1"/>
  <c r="Y171" i="1"/>
  <c r="Y43" i="1"/>
  <c r="W125" i="1"/>
  <c r="Y48" i="1"/>
  <c r="W48" i="1"/>
  <c r="Y151" i="1"/>
  <c r="T8" i="1"/>
  <c r="S8" i="1" s="1"/>
  <c r="S9" i="1"/>
  <c r="S66" i="1"/>
  <c r="W66" i="1" s="1"/>
  <c r="W68" i="1"/>
  <c r="N8" i="1"/>
  <c r="Y66" i="1"/>
  <c r="Y169" i="1"/>
  <c r="W19" i="1"/>
  <c r="Y19" i="1"/>
  <c r="W154" i="1"/>
  <c r="Q9" i="1"/>
  <c r="Q8" i="1" s="1"/>
  <c r="O52" i="1"/>
  <c r="Y52" i="1" s="1"/>
  <c r="O76" i="1"/>
  <c r="Y76" i="1" s="1"/>
  <c r="S153" i="1"/>
  <c r="W153" i="1" s="1"/>
  <c r="Y118" i="1"/>
  <c r="W118" i="1"/>
  <c r="M8" i="1"/>
  <c r="Y68" i="1"/>
  <c r="G62" i="1"/>
  <c r="H9" i="1"/>
  <c r="K154" i="1"/>
  <c r="L153" i="1"/>
  <c r="K153" i="1" s="1"/>
  <c r="Q153" i="1"/>
  <c r="O153" i="1" s="1"/>
  <c r="O154" i="1"/>
  <c r="Y154" i="1" s="1"/>
  <c r="K128" i="1"/>
  <c r="W128" i="1" s="1"/>
  <c r="Y139" i="1"/>
  <c r="Y153" i="1" l="1"/>
  <c r="W40" i="1"/>
  <c r="Y40" i="1"/>
  <c r="H8" i="1"/>
  <c r="G9" i="1"/>
  <c r="W9" i="1"/>
  <c r="W8" i="1"/>
  <c r="O9" i="1"/>
  <c r="Y9" i="1" s="1"/>
  <c r="P8" i="1"/>
  <c r="O8" i="1" s="1"/>
  <c r="Y8" i="1" s="1"/>
  <c r="L181" i="1" l="1"/>
  <c r="G8" i="1"/>
  <c r="G181" i="1" l="1"/>
  <c r="K181" i="1"/>
</calcChain>
</file>

<file path=xl/sharedStrings.xml><?xml version="1.0" encoding="utf-8"?>
<sst xmlns="http://schemas.openxmlformats.org/spreadsheetml/2006/main" count="474" uniqueCount="301">
  <si>
    <t>Наименование направления, раздела, мероприятия, ведомственной целевой программы</t>
  </si>
  <si>
    <t>№ п/п</t>
  </si>
  <si>
    <t>окружного бюджета</t>
  </si>
  <si>
    <t>прочих внебюджетных источников</t>
  </si>
  <si>
    <t>всего</t>
  </si>
  <si>
    <t>в том числе</t>
  </si>
  <si>
    <t>Всего по Программе</t>
  </si>
  <si>
    <t>2</t>
  </si>
  <si>
    <t>3</t>
  </si>
  <si>
    <t>Основное мероприятие: "Реализация основных и дополнительных образовательных программ"</t>
  </si>
  <si>
    <t>федераль-ного бюджета</t>
  </si>
  <si>
    <t>4</t>
  </si>
  <si>
    <t>5</t>
  </si>
  <si>
    <t>Основное мероприятие: "Оказание поддержки отдельным категориям детей и молодежи"</t>
  </si>
  <si>
    <t>6</t>
  </si>
  <si>
    <t>7</t>
  </si>
  <si>
    <t>1</t>
  </si>
  <si>
    <t>Основное мероприятие: "Социальная поддержка специалистов"</t>
  </si>
  <si>
    <t>мероприятие: "Назначение и выплата стипендии Губернатора студентам образовательных организаций высшего образования, имеющих высокий уровень качества знаний"</t>
  </si>
  <si>
    <t>Основное мероприятие: "Социальная поддержка обучающихся в учреждениях профессионального образования"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</si>
  <si>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</si>
  <si>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"Проведение мероприятий, направленных на формирование гражданских, патриотических и творческих качеств детей и молодежи Чукотки"</t>
  </si>
  <si>
    <t>Основное мероприятие: "Государственная поддержка молодёжных общественных объединений и талантливой молодёжи"</t>
  </si>
  <si>
    <t>Основное мероприятие: "Обеспечение функционирования государственных органов"</t>
  </si>
  <si>
    <t>Основное мероприятие: «Оказание государственной поддержки молодым семьям»</t>
  </si>
  <si>
    <t>Основное мероприятие: «Предоставление дополнительных социальных выплат»</t>
  </si>
  <si>
    <t>1.1</t>
  </si>
  <si>
    <t>1.2</t>
  </si>
  <si>
    <t>7.1</t>
  </si>
  <si>
    <t>2.1</t>
  </si>
  <si>
    <t>3.1</t>
  </si>
  <si>
    <t>4.1</t>
  </si>
  <si>
    <t>1.3</t>
  </si>
  <si>
    <t>2.2</t>
  </si>
  <si>
    <t>2.3</t>
  </si>
  <si>
    <t>2.4</t>
  </si>
  <si>
    <t>2.5</t>
  </si>
  <si>
    <t>2.6</t>
  </si>
  <si>
    <t>2.7</t>
  </si>
  <si>
    <t>2.8</t>
  </si>
  <si>
    <t>2.10</t>
  </si>
  <si>
    <t>5.1</t>
  </si>
  <si>
    <t>6.1</t>
  </si>
  <si>
    <t>6.2</t>
  </si>
  <si>
    <t>Всего</t>
  </si>
  <si>
    <t>ФБ</t>
  </si>
  <si>
    <t>ОБ</t>
  </si>
  <si>
    <t>Информация о ходе реализации Государственной программы</t>
  </si>
  <si>
    <t>% исполнения</t>
  </si>
  <si>
    <t>Целевая статья</t>
  </si>
  <si>
    <t>Вид расходов</t>
  </si>
  <si>
    <t>федерального бюджета</t>
  </si>
  <si>
    <t>530</t>
  </si>
  <si>
    <t>522</t>
  </si>
  <si>
    <t>622</t>
  </si>
  <si>
    <t>521</t>
  </si>
  <si>
    <t>244</t>
  </si>
  <si>
    <t>4.2</t>
  </si>
  <si>
    <t xml:space="preserve">Основное мероприятие: "Организация отдыха и оздоровления детей"
</t>
  </si>
  <si>
    <t>8</t>
  </si>
  <si>
    <t>8.1</t>
  </si>
  <si>
    <t>8.2</t>
  </si>
  <si>
    <t>8.3</t>
  </si>
  <si>
    <t>623</t>
  </si>
  <si>
    <t>340</t>
  </si>
  <si>
    <t>321</t>
  </si>
  <si>
    <t>613</t>
  </si>
  <si>
    <t>350</t>
  </si>
  <si>
    <t>122</t>
  </si>
  <si>
    <t>121</t>
  </si>
  <si>
    <t>129</t>
  </si>
  <si>
    <t>851</t>
  </si>
  <si>
    <t>852</t>
  </si>
  <si>
    <t>621</t>
  </si>
  <si>
    <t>313</t>
  </si>
  <si>
    <t>853</t>
  </si>
  <si>
    <t>330</t>
  </si>
  <si>
    <t>Основное мероприятие: "Обеспечение функционирования государственных учреждений"</t>
  </si>
  <si>
    <t>мероприятие: "Проведение государственной итоговой аттестации, олимпиад и мероприятий по развитию национально-региональной системы независимой оценки качества общего образования"</t>
  </si>
  <si>
    <t>мероприятие: "Субвенции на компенсацию части платы, взимаемую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деятельность"</t>
  </si>
  <si>
    <t>мероприятие: "Субсидии на выполнение ремонтных работ в муниципальных образовательных организациях"</t>
  </si>
  <si>
    <t>мероприятие: "Проведение ремонтных и (или) строительных работ в государственных образовательных организациях"</t>
  </si>
  <si>
    <t>3.2</t>
  </si>
  <si>
    <t>мероприятие: "Создание условий для обучения и воспитания детей, находящихся в трудной жизненной ситуации, детей, имеющих ограниченные возможности здоровья, несовершеннолетних, направляемых по решению суда, и лиц, их сопровождающих"</t>
  </si>
  <si>
    <t>6.3</t>
  </si>
  <si>
    <t>мероприятие: "Оплата питания студентов очной формы обучения учреждений высшего профессионального образования, расположенных на территории Чукотского автономного округа"</t>
  </si>
  <si>
    <t>мероприятие: "Поддержка несовершеннолетних, находящихся в трудной жизненной ситуации, во время переезда из постоянного места жительства к месту обучения и обратно"</t>
  </si>
  <si>
    <t>мероприятие: "Субсидии на реализацию мероприятий по проведению оздоровительной кампании детей, находящихся в трудной жизненной ситуации"</t>
  </si>
  <si>
    <t>02 3 04 63300</t>
  </si>
  <si>
    <t>Основное мероприятие: "Обеспечение участия во всероссийских конкурсах, слетах, форумах, фестивалях специалистов, детей и молодёжи Чукотки"</t>
  </si>
  <si>
    <t>мероприятие: "Организация, проведение, участие в окружных и всероссийских молодежных массовых мероприятиях, конкурсах, слетах"</t>
  </si>
  <si>
    <t>02 4 03 63340</t>
  </si>
  <si>
    <t>мероприятие: "Организация деятельности Регионального Координационного Центра движения WorldSkills Russia в Чукотском автономном округе"</t>
  </si>
  <si>
    <t>414</t>
  </si>
  <si>
    <t>Основное мероприятие: "Оказание поддержки студентам и специалистам государственных учреждений округа"</t>
  </si>
  <si>
    <t>мероприятие: "Обеспечение проживания студентов и специалистов профессиональных образовательных учреждений"</t>
  </si>
  <si>
    <t>9</t>
  </si>
  <si>
    <t>9.1</t>
  </si>
  <si>
    <t>2.9</t>
  </si>
  <si>
    <t>мероприятие: "Реализация мер по профессиональному обучению младшего медицинского персонала"</t>
  </si>
  <si>
    <t>632</t>
  </si>
  <si>
    <t>мероприятие: "Организация и проведение практики студентов и аспирантов на территории Чукотского автономного округа"</t>
  </si>
  <si>
    <t>мероприятие: "Субсидии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</si>
  <si>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мероприятие: "Комплекс мер по обеспечению безопасности образовательных учреждений "</t>
  </si>
  <si>
    <t>02 И 01 90340</t>
  </si>
  <si>
    <t>мероприятие: "Субсидии на реализацию мероприятий по обеспечению жильем молодых семей"</t>
  </si>
  <si>
    <t>Подпрограмма 1 "Обеспечение государственных гарантий и развитие современной инфраструктуры образования"</t>
  </si>
  <si>
    <t>Основное мероприятие: "Развитие системы дошкольного, общего и профессионального образования"</t>
  </si>
  <si>
    <t>мероприятие: "Проведение ремонтных и (или) строительных работ в профессиональных образовательных организациях"</t>
  </si>
  <si>
    <t>мероприятие: "Субсидии на реализацию мероприятий по профессиональной ориентации лиц, обучающихся в общеобразовательных организациях Чукотского автономного округа"</t>
  </si>
  <si>
    <t>мероприятие: "Субсидии на поддержку кадетского движения в Чукотском автономном округе"</t>
  </si>
  <si>
    <t>мероприятие: "Организация, проведение, участие в конкурсах профессионального мастерства"</t>
  </si>
  <si>
    <t>мероприятие: "Субсидии на мероприятия государственной программы Российской Федерации "Доступная среда"</t>
  </si>
  <si>
    <t>Основное мероприятие: "Материальное обеспечение отрасли образования"</t>
  </si>
  <si>
    <t>мероприятие: "Приобретение материальных ресурсов, обеспечивающих развитие инфраструктуры образования, в том числе учебников для общеобразовательных организаций"</t>
  </si>
  <si>
    <t>мероприятие: "Субсидии на приобретение оборудования и товарно-материальных ценностей для нужд муниципальных образовательных организаций"</t>
  </si>
  <si>
    <t>Основное мероприятие: "Формирование информационных ресурсов отрасли образования"</t>
  </si>
  <si>
    <t>мероприятие: "Разработка, внедрение и сопровождение информационных ресурсов, обеспечивающих функционирование отрасли образования"</t>
  </si>
  <si>
    <t>Основное мероприятие: "Социальные гарантии работникам отрасли образования по оплате жилья и коммунальных услуг"</t>
  </si>
  <si>
    <t>мероприятие: "Проведение независимой оценки качества услуг в образовании"</t>
  </si>
  <si>
    <t>Основное мероприятие: "Независимая оценка качества услуг в образовании"</t>
  </si>
  <si>
    <t>мероприятие: "Гранты некоммерческим организациям на организацию участия детей Чукотского автономного округа в новогодней Кремлевской елке"</t>
  </si>
  <si>
    <t>мероприятие: "Гранты некоммерческим организациям на организацию и проведение оздоровительной кампании"</t>
  </si>
  <si>
    <t>10</t>
  </si>
  <si>
    <t>Основное мероприятие: "Региональный проект "Успех каждого ребенка" федерального проекта "Успех каждого ребенка""</t>
  </si>
  <si>
    <t>10.1</t>
  </si>
  <si>
    <t>10.2</t>
  </si>
  <si>
    <t>10.3</t>
  </si>
  <si>
    <t>мероприятие: "Субсидии на создание в общеобразовательных организациях, расположенных в сельской местности, условий для занятий физической культурой и спортом"</t>
  </si>
  <si>
    <t>мероприятие: "Субсидии на создание мобильных технопарков "Кванториум"</t>
  </si>
  <si>
    <t>мероприятие: "Создание регионального центра выявления и поддержки одаренных детей"</t>
  </si>
  <si>
    <t>11</t>
  </si>
  <si>
    <t>Основное мероприятие: "Региональный проект "Содействие занятости женщин - создание условий дошкольного образования для детей в возрасте до трех лет" федерального проекта "Содействие занятости женщин - создание условий дошкольного образования для детей в возрасте до трех лет"</t>
  </si>
  <si>
    <t>11.1</t>
  </si>
  <si>
    <t>12</t>
  </si>
  <si>
    <t>Основное мероприятие: "Региональный проект "Современная школа" федерального проекта "Современная школа"</t>
  </si>
  <si>
    <t>13</t>
  </si>
  <si>
    <t>Основное мероприятие: "Региональный проект "Цифровая образовательная среда" федерального проекта "Цифровая образовательная среда"</t>
  </si>
  <si>
    <t>12.1</t>
  </si>
  <si>
    <t>13.1</t>
  </si>
  <si>
    <t>мероприятие: "Внедрение целевой модели цифровой образовательной среды в профессиональных образовательных организациях"</t>
  </si>
  <si>
    <t>14</t>
  </si>
  <si>
    <t>Основное мероприятие: "Региональный проект "Молодые профессионалы (повышение конкурентоспособности профессионального образования)" федерального проекта "Молодые профессионалы (повышение конкурентоспособности профессионального образования)"</t>
  </si>
  <si>
    <t>14.1</t>
  </si>
  <si>
    <t>мероприятие: "Разработка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подготовки"</t>
  </si>
  <si>
    <t>15</t>
  </si>
  <si>
    <t>Основное мероприятие: "Региональный проект "Учитель будущего" федерального проекта "Учитель будущего""</t>
  </si>
  <si>
    <t>15.1</t>
  </si>
  <si>
    <t>мероприятие: "Создание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педагогов"</t>
  </si>
  <si>
    <t>мероприятие: "Субсидии на формирование жилищного фонда для специалистов Чукотского автономного округа"</t>
  </si>
  <si>
    <t>Подпрограмма 2: "Развитие кадрового потенциала"</t>
  </si>
  <si>
    <t>Подпрограмма 3: "Поддержка и развитие детского и молодежного образования и творчества"</t>
  </si>
  <si>
    <t>мероприятие: "Организация и проведение окружных мероприятий, направленных на развитие детского и молодежного творчества"</t>
  </si>
  <si>
    <t>мероприятие: "Обеспечение участия во всероссийских конкурсах, слетах, форумах, фестивалях специалистов, детей и молодежи Чукотки"</t>
  </si>
  <si>
    <t>Основное мероприятие: "Реализация мероприятий WorldSkills Russia (молодые профессионалы)"</t>
  </si>
  <si>
    <t>5.2</t>
  </si>
  <si>
    <t>мероприятие: "Субсидии на реализацию мероприятий по поддержке творчества обучающихся инженерной направленности"</t>
  </si>
  <si>
    <t>Основное мероприятие: "Поддержка робототехники и технического творчества инженерной направленности обучающихся"</t>
  </si>
  <si>
    <t>мероприятие: "Гранты некоммерческим организациям на проведение Окружного фестиваля робототехники"</t>
  </si>
  <si>
    <t>Подпрограмма 4: "Грантовая поддержка проектов в области образования"</t>
  </si>
  <si>
    <t>мероприятие: "Гранты молодежным общественным объединениям"</t>
  </si>
  <si>
    <t>Основное мероприятие: "Поощрение лучших учреждений образования и их работников"</t>
  </si>
  <si>
    <t>мкроприятие: "Грантовая поддержка лучших образовательных организаций и их работников"</t>
  </si>
  <si>
    <t>Основное мероприятие: "Реализация мероприятий по поддержке социально ориентированных некоммерческих организаций"</t>
  </si>
  <si>
    <t>мероприятие: "Организация, проведение, участие в мероприятиях по вопросам вовлечения СОНКО Чукотского автономного округа в оказании услуг в социальной сфере"</t>
  </si>
  <si>
    <t>Подпрограмма 5: "Содействие в обеспечении жильём молодых семей"</t>
  </si>
  <si>
    <t>Подпрограмма 6: "Развитие социальной инфраструктуры"</t>
  </si>
  <si>
    <t>мероприятие: "Строительство объекта "Школа в с. Островное""</t>
  </si>
  <si>
    <t>мероприятие: "Строительство объекта "Школа в г. Анадырь""</t>
  </si>
  <si>
    <t>Подпрограмма 7: "Обеспечение деятельности государственных органов и подведомственных учреждений"</t>
  </si>
  <si>
    <t>мероприятие: "Содержание центрального аппарата органов государственной власти (государственных органов)"</t>
  </si>
  <si>
    <t>мероприятие: "Расходы на обеспечение деятельности (оказание услуг) средних профессиональных учебных заведений"</t>
  </si>
  <si>
    <t>мероприятие: "Расходы на обеспечение деятельности (оказание услуг) институтов повышения квалификации"</t>
  </si>
  <si>
    <t>мероприятие: "Выплата единовременного пособия специалистам образовательных организаций"</t>
  </si>
  <si>
    <t>09 1 01 00280</t>
  </si>
  <si>
    <t>09 1 01 4307Д</t>
  </si>
  <si>
    <t>113</t>
  </si>
  <si>
    <t>09 1 02 4309Д</t>
  </si>
  <si>
    <t>09 1 02 4227Д</t>
  </si>
  <si>
    <t>09 1 02 63100</t>
  </si>
  <si>
    <t>09 1 02 6311Д</t>
  </si>
  <si>
    <t>09 1 02 6312Д</t>
  </si>
  <si>
    <t>09 1 02 63320</t>
  </si>
  <si>
    <t>09 1 02 42410</t>
  </si>
  <si>
    <t>09 1 02 60750</t>
  </si>
  <si>
    <t>09 1 02 R027Д</t>
  </si>
  <si>
    <t>09 1 03 6313Д</t>
  </si>
  <si>
    <t>09 1 05 43050</t>
  </si>
  <si>
    <t>09 1 06 6316Д</t>
  </si>
  <si>
    <t>09 1 06 6317Д</t>
  </si>
  <si>
    <t>09 1 06 6318Д</t>
  </si>
  <si>
    <t>09 1 07 63190</t>
  </si>
  <si>
    <t>09 1 08 4215Д</t>
  </si>
  <si>
    <t>09 1 08 6320Д</t>
  </si>
  <si>
    <t>09 1 08 6361Д</t>
  </si>
  <si>
    <t>09 1 09 72230</t>
  </si>
  <si>
    <t>09 1 Е2 5097Д</t>
  </si>
  <si>
    <t>09 1 Р2 5159Д</t>
  </si>
  <si>
    <t>09 2 01 6326Д</t>
  </si>
  <si>
    <t>09 2 01 63270</t>
  </si>
  <si>
    <t>09 2 02 1021Д</t>
  </si>
  <si>
    <t>09 2 03 42230</t>
  </si>
  <si>
    <t>09 2 04 63300</t>
  </si>
  <si>
    <t>09 3 01 6333Д</t>
  </si>
  <si>
    <t>09 3 02 6332Д</t>
  </si>
  <si>
    <t>09 3 03 63340</t>
  </si>
  <si>
    <t>09 3 04 63350</t>
  </si>
  <si>
    <t>09 3 05 42440</t>
  </si>
  <si>
    <t>09 3 05 72430</t>
  </si>
  <si>
    <t>09 4 01 6336Д</t>
  </si>
  <si>
    <t>09 4 02 63370</t>
  </si>
  <si>
    <t>09 4 03 72410</t>
  </si>
  <si>
    <t>09 5 01 R4970</t>
  </si>
  <si>
    <t>09 5 02 71720</t>
  </si>
  <si>
    <t>09 П 01 00110</t>
  </si>
  <si>
    <t>09 П 01 59900</t>
  </si>
  <si>
    <t>09 П 01 10110</t>
  </si>
  <si>
    <t>09 П 01 10120</t>
  </si>
  <si>
    <t>09 П 02 С902Д</t>
  </si>
  <si>
    <t>92 П 02 С905Д</t>
  </si>
  <si>
    <t>09 П 02 С9060</t>
  </si>
  <si>
    <t>09 П 02 10110</t>
  </si>
  <si>
    <t>09 П 02 1061Д</t>
  </si>
  <si>
    <t>09 П 02 10710</t>
  </si>
  <si>
    <t>09 2 04 63310</t>
  </si>
  <si>
    <t>09 И 01 9011Д</t>
  </si>
  <si>
    <t>09 И Е1 90340</t>
  </si>
  <si>
    <t>09 И Р2 90330</t>
  </si>
  <si>
    <t>Основное мероприятие: "Содействие в приобретении жилья специалистам"</t>
  </si>
  <si>
    <t>мероприятие: "Субсидии на обеспечение жильем работников социальной сферы Чукотского автономного округа"</t>
  </si>
  <si>
    <t>Основное мероприятие: "Обучение специалистов с высшим профессиональным образованием"</t>
  </si>
  <si>
    <t>Предусмотрено сводной бюджетной росписью на 2020 год (по состоянию на 01.10.2020 г.)</t>
  </si>
  <si>
    <t>План на 2020 год по Государственной программе, всего</t>
  </si>
  <si>
    <t>профинансировано по состоянию на 01.10.2020 г.</t>
  </si>
  <si>
    <t>выполнено  по состоянию на01.10.2020 г.</t>
  </si>
  <si>
    <t>2.11</t>
  </si>
  <si>
    <t>09 1 02 Z027Д</t>
  </si>
  <si>
    <t>2.12</t>
  </si>
  <si>
    <t>09 1 02 R2550</t>
  </si>
  <si>
    <t>2.13</t>
  </si>
  <si>
    <t>09 1 02 53031</t>
  </si>
  <si>
    <t>540</t>
  </si>
  <si>
    <t>2.14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</si>
  <si>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на организацию бесплатного горячего питания для обучающихся, осваивающих образовательные программы начального общего образования)</t>
  </si>
  <si>
    <t>09 1 02 R3040</t>
  </si>
  <si>
    <t>3.3</t>
  </si>
  <si>
    <t>09 1 03 7185Д</t>
  </si>
  <si>
    <t>633</t>
  </si>
  <si>
    <t>мероприятие: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"</t>
  </si>
  <si>
    <t>12.2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</si>
  <si>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</si>
  <si>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 1 Е4 5210Д</t>
  </si>
  <si>
    <t>09 1 Е1 5169Д</t>
  </si>
  <si>
    <t>мероприятие: "Субсидии на создание центров цифрового образования детей"</t>
  </si>
  <si>
    <t xml:space="preserve">Основное мероприятие: "Региональный проект " Поддержка семей, имеющих детей" федерального проекта " Поддержка семей, имеющих детей" </t>
  </si>
  <si>
    <t>Субсидии на выплату специалистам муниципальных образовательных организаций денежной компенсации за наем (поднаем) жилых помещений</t>
  </si>
  <si>
    <t>09 2 01 42630</t>
  </si>
  <si>
    <t>Иные межбюджетные трансферты из окружного бюджета бюджетам муниципальных образований Чукотского автономного округа на обеспечение жильем работников социальной сферы Чукотского автономного округа</t>
  </si>
  <si>
    <t>09 2 03 55050</t>
  </si>
  <si>
    <t>Основное мероприятие: "Содействие в обеспечении жильем молодых специалистов Чукотского автономного округа"</t>
  </si>
  <si>
    <t>09 2 05 71930</t>
  </si>
  <si>
    <t>Основное мероприятие: "Реализация мероприятия "Земский учитель"</t>
  </si>
  <si>
    <t>09 2 06 R2560</t>
  </si>
  <si>
    <t>мероприятие: " Реализация мероприятий, направленных на развитие творческого потенциала и активности детей и молодежи под эгидой Уполномоченного по правам человека</t>
  </si>
  <si>
    <t>6,1</t>
  </si>
  <si>
    <t>Основное мероприятие: "Олимпиады школьников"</t>
  </si>
  <si>
    <t>Организация и проведение олимпиад учащихся образовательных организаций Чукотского автономного округа</t>
  </si>
  <si>
    <t>09 3 06 6314Д</t>
  </si>
  <si>
    <t>Основное мероприятие: "Поддержка учреждений образования и их работников в области родных языков"</t>
  </si>
  <si>
    <t>Гранты некоммерческим организациям на проведение Окружного фестиваля родных языков</t>
  </si>
  <si>
    <t>Основное мероприятие: "Социальная активность " федерального проекта "Социальная активность"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</si>
  <si>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</si>
  <si>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Основное мероприятие: "Проектно-изыскательские, ремонтные работы, строительство, приобретение и реконструкция объектов государственной собственности"</t>
  </si>
  <si>
    <t>09 П 02 10120</t>
  </si>
  <si>
    <t>09 1 02 4242Д</t>
  </si>
  <si>
    <t>09 1 02 53032</t>
  </si>
  <si>
    <t xml:space="preserve">09 5 01 R4970
</t>
  </si>
  <si>
    <t>09 П 01 10130</t>
  </si>
  <si>
    <t>мероприятие: "Субвенции на реализацию прав на получение общедоступного и бесплатного образования в муниципальных образовательных организациях, входящих в Чукотский (надмуниципальный) образовательный округг"</t>
  </si>
  <si>
    <t>Создание в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образовательных организаций специальным оборудованием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</si>
  <si>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("Школа-интернат основного общего образования села Нунлингран")</t>
  </si>
  <si>
    <t xml:space="preserve">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</si>
  <si>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мероприятие: "Комплекс мер по реализации проекта "Школьный автобус"</t>
  </si>
  <si>
    <t>Создание условий для раннего развития детей в возрасте до трех лет, реализация программы психолого-педагогической, методической и консультативной помощи родителям детей, получающих дошкольное образование в семье</t>
  </si>
  <si>
    <t>мероприятие: "Оплата производственной практики обучающимся и студентам в соответствии с Постановлением Чукотского автономного округа от 26 апреля 2011 года N 163 "Об установлении размера и порядка оплаты производственной практики обучающимся и студентам по очной форме обучения в образовательных учреждениях начального и среднего профессионального образования, находящихся в ведении органов исполнительной власти Чукотского автономного округа""</t>
  </si>
  <si>
    <t>мероприятие: "Подготовка специалистов по программам высшего образования для экономики Чукотского автономного округа"</t>
  </si>
  <si>
    <t>Реализация мероприятий по обеспечению жильем молодых специалистов и семей, в состав которых входят молодые специалисты Чукотского автономного округа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</si>
  <si>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</si>
  <si>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мероприятие: "Предоставление дополнительных социальных выплат молодым семьям, получившим государственную поддержку на приобретение (строительство) жилья, при рождении (усыновлении) ребенка"</t>
  </si>
  <si>
    <t>мероприятие: "Создание новых мест в общеобразовательных организациях (Строительство объекта "Начальная школа в с. Лорино")"</t>
  </si>
  <si>
    <t>мероприятие: "Создание новых мест в общеобразовательных организациях, расположенных в сельской местности и поселках городского типа образования (Строительство объекта "Школа в с. Островное")"</t>
  </si>
  <si>
    <t>мероприятие: "Создание дополнительных мест для детей в возрасте от 1,5 до 3 лет в образовательных организациях, осуществляющих образовательную деятельность по программам дошкольного образования (Строительство объекта Детский сад в г. Анадырь)"</t>
  </si>
  <si>
    <t>мероприятие: "Осуществление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273-ФЗ "Об образовании в Российской Федерации" полномочий Российской Федерации в сфере образования"</t>
  </si>
  <si>
    <t>мероприятие: "Компенсация расходов на оплату стоимости проезда, переезда и провоза багажа в соответствии с Законом Чукотского автономного округа от 31 мая 2010 года N 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округе"»</t>
  </si>
  <si>
    <t>мероприятие: "Расходы на обеспечение деятельности (оказание услуг) школ-детских садов, школ начальных, неполных средних и средних"</t>
  </si>
  <si>
    <t>мероприятие: "Меры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в соответствии с Законом Чукотского автономного округа от 12 сентября 2016 года N 91-ОЗ "О дополнительных мерах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и порядке их реализации на территории Чукотского автономного округа"</t>
  </si>
  <si>
    <t>Мероприятие: "Меры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 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</si>
  <si>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09 1 03 42320</t>
  </si>
  <si>
    <t>09 1 04 60230</t>
  </si>
  <si>
    <t>мероприятие: "Субвенции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</si>
  <si>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"Развитие образования и науки Чукотского автономного округа" за январь -сентябрь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</si>
</sst>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_-* #,##0.0\ _₽_-;\-* #,##0.0\ _₽_-;_-* &quot;-&quot;?\ _₽_-;_-@_-"/>
    <numFmt numFmtId="168" formatCode="_-* #,##0.00_р_._-;\-* #,##0.00_р_._-;_-* &quot;-&quot;?_р_._-;_-@_-"/>
  </numFmts>
  <fonts count="1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ahoma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6" fontId="3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49" fontId="11" fillId="3" borderId="1" xfId="0" applyNumberFormat="1" applyFont="1" applyFill="1" applyBorder="1" applyAlignment="1">
      <alignment horizontal="justify" vertical="center" wrapText="1"/>
    </xf>
    <xf numFmtId="166" fontId="11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13" fillId="2" borderId="1" xfId="0" applyNumberFormat="1" applyFont="1" applyFill="1" applyBorder="1" applyAlignment="1">
      <alignment horizontal="justify" vertical="center" wrapText="1"/>
    </xf>
    <xf numFmtId="166" fontId="11" fillId="2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166" fontId="13" fillId="0" borderId="1" xfId="1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166" fontId="14" fillId="0" borderId="1" xfId="0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167" fontId="2" fillId="0" borderId="1" xfId="1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66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Alignment="1">
      <alignment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3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166" fontId="10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3" fillId="0" borderId="1" xfId="1" applyNumberFormat="1" applyFont="1" applyBorder="1" applyAlignment="1">
      <alignment horizontal="right" vertical="center" wrapText="1"/>
    </xf>
    <xf numFmtId="166" fontId="3" fillId="2" borderId="0" xfId="1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166" fontId="10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0" fontId="2" fillId="0" borderId="7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\&#1086;&#1073;&#1097;&#1080;&#1077;\&#1041;&#1091;&#1093;&#1044;&#1077;&#1087;\2020%20&#1075;&#1086;&#1076;\&#1054;&#1058;&#1063;&#1045;&#1058;%20&#1087;&#1086;%20&#1052;&#1041;&#1058;%20(251)%20&#1085;&#1072;%2001%20&#1074;%20&#1060;&#1048;&#1053;&#1067;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07/&#1052;&#1086;&#1080;%20&#1076;&#1086;&#1082;&#1091;&#1084;&#1077;&#1085;&#1090;&#1099;/&#1089;&#1091;&#1073;&#1089;&#1080;&#1076;&#1080;&#1080;_&#1092;&#1077;&#1076;&#1077;&#1088;&#1072;&#1094;&#1080;&#1103;/&#1084;&#1086;&#1083;&#1086;&#1076;&#1099;&#1077;_&#1089;&#1077;&#1084;&#1100;&#1080;/2020/&#1086;&#1090;&#1095;&#1077;&#1090;&#1099;/3_&#1082;&#1074;/&#1063;&#1091;&#1082;&#1086;&#1090;&#1089;&#1082;&#1080;&#1081;&#1040;&#1054;_&#1057;&#1074;&#1077;&#1076;&#1077;&#1085;&#1080;&#1103;%20&#1086;%20&#1093;&#1086;&#1076;&#1077;%20&#1088;&#1077;&#1072;&#1083;&#1080;&#1079;&#1072;&#1094;&#1080;&#1052;&#1057;_3&#1082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0503127M%20&#1085;&#1072;%2001.10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 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I11">
            <v>6009005.9899999993</v>
          </cell>
          <cell r="J11">
            <v>2908870.7800000003</v>
          </cell>
        </row>
        <row r="19">
          <cell r="I19">
            <v>522538.04</v>
          </cell>
        </row>
        <row r="122">
          <cell r="I122">
            <v>6716049.8899999987</v>
          </cell>
        </row>
        <row r="128">
          <cell r="I128">
            <v>4117386.31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N8">
            <v>2800843.94</v>
          </cell>
          <cell r="O8">
            <v>1717104.06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 refreshError="1"/>
      <sheetData sheetId="1">
        <row r="104">
          <cell r="I104">
            <v>5242565</v>
          </cell>
        </row>
        <row r="105">
          <cell r="I105">
            <v>794250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3"/>
  <sheetViews>
    <sheetView tabSelected="1" zoomScale="75" zoomScaleNormal="70" zoomScaleSheetLayoutView="70" workbookViewId="0">
      <pane xSplit="6" ySplit="7" topLeftCell="O148" activePane="bottomRight" state="frozen"/>
      <selection pane="topRight" activeCell="G1" sqref="G1"/>
      <selection pane="bottomLeft" activeCell="A8" sqref="A8"/>
      <selection pane="bottomRight" activeCell="A2" sqref="A2:V2"/>
    </sheetView>
  </sheetViews>
  <sheetFormatPr defaultRowHeight="15.75" x14ac:dyDescent="0.2"/>
  <cols>
    <col min="1" max="1" width="7.85546875" style="1" customWidth="1"/>
    <col min="2" max="2" width="69" style="1" customWidth="1"/>
    <col min="3" max="3" width="17.28515625" style="1" customWidth="1"/>
    <col min="4" max="4" width="15.7109375" style="1" customWidth="1"/>
    <col min="5" max="5" width="11.85546875" style="1" hidden="1" customWidth="1"/>
    <col min="6" max="6" width="11" style="1" customWidth="1"/>
    <col min="7" max="7" width="17.140625" style="1" customWidth="1"/>
    <col min="8" max="8" width="14.28515625" style="1" customWidth="1"/>
    <col min="9" max="9" width="16.140625" style="1" customWidth="1"/>
    <col min="10" max="10" width="12" style="1" hidden="1" customWidth="1"/>
    <col min="11" max="11" width="18.5703125" style="1" customWidth="1"/>
    <col min="12" max="12" width="13.85546875" style="1" customWidth="1"/>
    <col min="13" max="13" width="15.28515625" style="1" customWidth="1"/>
    <col min="14" max="14" width="12" style="1" hidden="1" customWidth="1"/>
    <col min="15" max="15" width="17.7109375" style="1" customWidth="1"/>
    <col min="16" max="16" width="14" style="1" customWidth="1"/>
    <col min="17" max="17" width="16.28515625" style="1" customWidth="1"/>
    <col min="18" max="18" width="11" style="1" hidden="1" customWidth="1"/>
    <col min="19" max="19" width="16.7109375" style="1" customWidth="1"/>
    <col min="20" max="20" width="15" style="1" customWidth="1"/>
    <col min="21" max="21" width="15.85546875" style="1" customWidth="1"/>
    <col min="22" max="22" width="12.42578125" style="1" hidden="1" customWidth="1"/>
    <col min="23" max="23" width="13.28515625" style="1" customWidth="1"/>
    <col min="24" max="24" width="16.140625" style="1" customWidth="1"/>
    <col min="25" max="25" width="15.42578125" style="1" bestFit="1" customWidth="1"/>
    <col min="26" max="26" width="12.7109375" style="1" customWidth="1"/>
    <col min="27" max="27" width="12.42578125" style="1" customWidth="1"/>
    <col min="28" max="28" width="9.140625" style="1"/>
    <col min="29" max="29" width="10.5703125" style="1" bestFit="1" customWidth="1"/>
    <col min="30" max="16384" width="9.140625" style="1"/>
  </cols>
  <sheetData>
    <row r="1" spans="1:29" ht="27" customHeight="1" x14ac:dyDescent="0.2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9" ht="38.25" customHeight="1" x14ac:dyDescent="0.2">
      <c r="A2" s="135" t="s">
        <v>300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98">
        <f>Q11+Q12+Q13+Q14+Q15+Q18+Q19+Q20+Q21+Q22+Q24+Q25+Q26+P30+P31+Q32+Q34+Q35+Q36+Q41+Q44+Q48+Q53+Q55+Q57+Q59+Q65+Q68+Q78+Q79+Q80+Q84+Q86+Q96+Q110+Q112+Q114+Q118+Q120+Q121+Q124+Q127+Q129+Q130+Q131+Q132+Q134+Q141+Q143+Q155+Q156+Q157+Q158+P162+P164+P165+Q166+Q167+Q168+Q170+Q171+Q172+Q173+Q174+Q175+Q176+Q177</f>
        <v>4055266.9258800005</v>
      </c>
      <c r="X2" s="99"/>
    </row>
    <row r="3" spans="1:29" x14ac:dyDescent="0.2">
      <c r="F3" s="108"/>
      <c r="G3" s="108"/>
      <c r="H3" s="68"/>
    </row>
    <row r="4" spans="1:29" ht="39" customHeight="1" x14ac:dyDescent="0.2">
      <c r="A4" s="96" t="s">
        <v>1</v>
      </c>
      <c r="B4" s="96" t="s">
        <v>0</v>
      </c>
      <c r="C4" s="111" t="s">
        <v>49</v>
      </c>
      <c r="D4" s="112"/>
      <c r="E4" s="113"/>
      <c r="F4" s="105" t="s">
        <v>50</v>
      </c>
      <c r="G4" s="119" t="s">
        <v>232</v>
      </c>
      <c r="H4" s="36"/>
      <c r="I4" s="36"/>
      <c r="J4" s="37"/>
      <c r="K4" s="96" t="s">
        <v>231</v>
      </c>
      <c r="L4" s="96"/>
      <c r="M4" s="96"/>
      <c r="N4" s="96"/>
      <c r="O4" s="97" t="s">
        <v>233</v>
      </c>
      <c r="P4" s="97"/>
      <c r="Q4" s="97"/>
      <c r="R4" s="97"/>
      <c r="S4" s="97" t="s">
        <v>234</v>
      </c>
      <c r="T4" s="97"/>
      <c r="U4" s="97"/>
      <c r="V4" s="97"/>
      <c r="W4" s="18" t="s">
        <v>48</v>
      </c>
    </row>
    <row r="5" spans="1:29" x14ac:dyDescent="0.2">
      <c r="A5" s="96"/>
      <c r="B5" s="96"/>
      <c r="C5" s="105" t="s">
        <v>2</v>
      </c>
      <c r="D5" s="105" t="s">
        <v>51</v>
      </c>
      <c r="E5" s="105" t="s">
        <v>3</v>
      </c>
      <c r="F5" s="106"/>
      <c r="G5" s="120"/>
      <c r="H5" s="96" t="s">
        <v>5</v>
      </c>
      <c r="I5" s="96"/>
      <c r="J5" s="96"/>
      <c r="K5" s="96" t="s">
        <v>4</v>
      </c>
      <c r="L5" s="96" t="s">
        <v>5</v>
      </c>
      <c r="M5" s="96"/>
      <c r="N5" s="96"/>
      <c r="O5" s="97" t="s">
        <v>44</v>
      </c>
      <c r="P5" s="114" t="s">
        <v>5</v>
      </c>
      <c r="Q5" s="114"/>
      <c r="R5" s="5"/>
      <c r="S5" s="97" t="s">
        <v>44</v>
      </c>
      <c r="T5" s="114" t="s">
        <v>5</v>
      </c>
      <c r="U5" s="114"/>
      <c r="V5" s="5"/>
      <c r="W5" s="19"/>
    </row>
    <row r="6" spans="1:29" ht="63" customHeight="1" x14ac:dyDescent="0.2">
      <c r="A6" s="96"/>
      <c r="B6" s="96"/>
      <c r="C6" s="107"/>
      <c r="D6" s="107"/>
      <c r="E6" s="107"/>
      <c r="F6" s="107"/>
      <c r="G6" s="121"/>
      <c r="H6" s="2" t="s">
        <v>10</v>
      </c>
      <c r="I6" s="2" t="s">
        <v>2</v>
      </c>
      <c r="J6" s="2" t="s">
        <v>3</v>
      </c>
      <c r="K6" s="96"/>
      <c r="L6" s="2" t="s">
        <v>10</v>
      </c>
      <c r="M6" s="2" t="s">
        <v>2</v>
      </c>
      <c r="N6" s="2" t="s">
        <v>3</v>
      </c>
      <c r="O6" s="97"/>
      <c r="P6" s="4" t="s">
        <v>45</v>
      </c>
      <c r="Q6" s="4" t="s">
        <v>46</v>
      </c>
      <c r="R6" s="56" t="s">
        <v>3</v>
      </c>
      <c r="S6" s="97"/>
      <c r="T6" s="4" t="s">
        <v>45</v>
      </c>
      <c r="U6" s="4" t="s">
        <v>46</v>
      </c>
      <c r="V6" s="2" t="s">
        <v>3</v>
      </c>
      <c r="W6" s="20"/>
    </row>
    <row r="7" spans="1:29" x14ac:dyDescent="0.2">
      <c r="A7" s="38">
        <v>1</v>
      </c>
      <c r="B7" s="38">
        <v>2</v>
      </c>
      <c r="C7" s="39" t="s">
        <v>8</v>
      </c>
      <c r="D7" s="39" t="s">
        <v>11</v>
      </c>
      <c r="E7" s="39" t="s">
        <v>12</v>
      </c>
      <c r="F7" s="39" t="s">
        <v>14</v>
      </c>
      <c r="G7" s="38">
        <v>7</v>
      </c>
      <c r="H7" s="38"/>
      <c r="I7" s="38"/>
      <c r="J7" s="38"/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21"/>
    </row>
    <row r="8" spans="1:29" ht="48" customHeight="1" x14ac:dyDescent="0.2">
      <c r="A8" s="2"/>
      <c r="B8" s="17" t="s">
        <v>6</v>
      </c>
      <c r="C8" s="29"/>
      <c r="D8" s="29"/>
      <c r="E8" s="29"/>
      <c r="F8" s="29"/>
      <c r="G8" s="8">
        <f>H8+I8+J8</f>
        <v>6182006.0000000009</v>
      </c>
      <c r="H8" s="8">
        <f>H9+H76+H102+H125+H139+H144+H153</f>
        <v>585990.69999999995</v>
      </c>
      <c r="I8" s="8">
        <f>I9+I76+I102+I125+I139+I144+I153</f>
        <v>5596015.3000000007</v>
      </c>
      <c r="J8" s="8">
        <f>J9+J76+J102+J125+J139+J144+J153</f>
        <v>0</v>
      </c>
      <c r="K8" s="8">
        <f>L8+M8+N8</f>
        <v>6172260.2000000002</v>
      </c>
      <c r="L8" s="8">
        <f>L9+L76+L102+L125+L139+L144+L153</f>
        <v>585990.69999999995</v>
      </c>
      <c r="M8" s="8">
        <f>M9+M76+M102+M125+M139+M144+M153</f>
        <v>5586269.5</v>
      </c>
      <c r="N8" s="8">
        <f>N9+N76+N102+N125+N139+N144+N153</f>
        <v>0</v>
      </c>
      <c r="O8" s="90">
        <f>P8+Q8+R8</f>
        <v>4138172.54269</v>
      </c>
      <c r="P8" s="8">
        <f>P9+P76+P102+P125+P139+P144+P153</f>
        <v>89390.297109999985</v>
      </c>
      <c r="Q8" s="8">
        <f>Q9+Q76+Q102+Q125+Q139+Q144+Q153</f>
        <v>4048782.2455799999</v>
      </c>
      <c r="R8" s="8">
        <f>R9+R76+R102+R125+R139+R144+R153</f>
        <v>0</v>
      </c>
      <c r="S8" s="8">
        <f>T8+U8+V8</f>
        <v>4116958.3759200005</v>
      </c>
      <c r="T8" s="8">
        <f>T9+T76+T102+T125+T139+T144+T153</f>
        <v>74033.261340000012</v>
      </c>
      <c r="U8" s="8">
        <f>U9+U76+U102+U125+U139+U144+U153</f>
        <v>4042925.1145800003</v>
      </c>
      <c r="V8" s="8">
        <f>V9+V76+V102+V125+V139+V144+V153</f>
        <v>0</v>
      </c>
      <c r="W8" s="22">
        <f>S8*100/K8</f>
        <v>66.700985417303059</v>
      </c>
      <c r="Y8" s="48">
        <f>O8-S8</f>
        <v>21214.166769999545</v>
      </c>
      <c r="Z8" s="48"/>
    </row>
    <row r="9" spans="1:29" ht="60" customHeight="1" x14ac:dyDescent="0.2">
      <c r="A9" s="109" t="s">
        <v>106</v>
      </c>
      <c r="B9" s="109"/>
      <c r="C9" s="30"/>
      <c r="D9" s="30"/>
      <c r="E9" s="30"/>
      <c r="F9" s="30"/>
      <c r="G9" s="11">
        <f>SUM(H9:J9)</f>
        <v>4643922.7</v>
      </c>
      <c r="H9" s="11">
        <f>H10+H17+H33+H40+H43+H45+H49+H52+H56+H58+H62+H64+H66+H70+H72</f>
        <v>197561.5</v>
      </c>
      <c r="I9" s="11">
        <f>I10+I17+I33+I40+I43+I45+I49+I52+I56+I58+I62+I64+I66+I70+I72</f>
        <v>4446361.2</v>
      </c>
      <c r="J9" s="11">
        <f>J10+J17+J33+J40+J43+J45+J49+J52+J56+J58+J62+J64+J66+J70+J72</f>
        <v>0</v>
      </c>
      <c r="K9" s="11">
        <f t="shared" ref="K9:K16" si="0">SUM(L9:N9)</f>
        <v>4640788.7</v>
      </c>
      <c r="L9" s="11">
        <f>L10+L17+L33+L40+L43+L45+L49+L52+L56+L58+L62+L64+L66+L70+L72</f>
        <v>197561.5</v>
      </c>
      <c r="M9" s="11">
        <f>M10+M17+M33+M40+M43+M45+M49+M52+M56+M58+M62+M64+M66+M70+M72</f>
        <v>4443227.2</v>
      </c>
      <c r="N9" s="11">
        <f>N10+N17+N33+N40+N43+N45+N49+N52+N56+N58+N62+N64+N66+N70+N72</f>
        <v>0</v>
      </c>
      <c r="O9" s="11">
        <f t="shared" ref="O9:O16" si="1">SUM(P9:R9)</f>
        <v>3334469.6892199996</v>
      </c>
      <c r="P9" s="11">
        <f>P10+P17+P33+P40+P43+P45+P49+P52+P56+P58+P62+P64+P66+P70+P72</f>
        <v>73229.195089999994</v>
      </c>
      <c r="Q9" s="11">
        <f>Q10+Q17+Q33+Q40+Q43+Q45+Q49+Q52+Q56+Q58+Q62+Q64+Q66+Q70+Q72</f>
        <v>3261240.4941299995</v>
      </c>
      <c r="R9" s="11">
        <f>R10+R17+R33+R40+R43+R45+R49+R52+R56+R58+R62+R64+R66+R70+R72</f>
        <v>0</v>
      </c>
      <c r="S9" s="11">
        <f t="shared" ref="S9:S16" si="2">SUM(T9:V9)</f>
        <v>3322081.8110199999</v>
      </c>
      <c r="T9" s="11">
        <f>T10+T17+T33+T40+T43+T45+T49+T52+T56+T58+T62+T64+T66+T70+T72</f>
        <v>61787.365270000002</v>
      </c>
      <c r="U9" s="11">
        <f>U10+U17+U33+U40+U43+U45+U49+U52+U56+U58+U62+U64+U66+U70+U72</f>
        <v>3260294.44575</v>
      </c>
      <c r="V9" s="11">
        <f>V10+V17+V33+V40+V43+V45+V49+V52+V56+V58+V62+V64+V66+V70+V72</f>
        <v>0</v>
      </c>
      <c r="W9" s="22">
        <f t="shared" ref="W9:W79" si="3">S9*100/K9</f>
        <v>71.584422945608353</v>
      </c>
      <c r="Y9" s="48">
        <f t="shared" ref="Y9:Y79" si="4">O9-S9</f>
        <v>12387.878199999686</v>
      </c>
      <c r="Z9" s="48"/>
    </row>
    <row r="10" spans="1:29" ht="39" customHeight="1" x14ac:dyDescent="0.2">
      <c r="A10" s="24">
        <v>1</v>
      </c>
      <c r="B10" s="25" t="s">
        <v>9</v>
      </c>
      <c r="C10" s="24"/>
      <c r="D10" s="24"/>
      <c r="E10" s="24"/>
      <c r="F10" s="24"/>
      <c r="G10" s="14">
        <f>SUM(H10:J10)</f>
        <v>4040893.7</v>
      </c>
      <c r="H10" s="6">
        <f>SUM(H11:H16)</f>
        <v>0</v>
      </c>
      <c r="I10" s="6">
        <f>SUM(I11:I16)</f>
        <v>4040893.7</v>
      </c>
      <c r="J10" s="6">
        <f>SUM(J11:J16)</f>
        <v>0</v>
      </c>
      <c r="K10" s="6">
        <f t="shared" si="0"/>
        <v>4040893.7</v>
      </c>
      <c r="L10" s="6">
        <f t="shared" ref="L10:V10" si="5">SUM(L11:L16)</f>
        <v>0</v>
      </c>
      <c r="M10" s="6">
        <f t="shared" si="5"/>
        <v>4040893.7</v>
      </c>
      <c r="N10" s="6">
        <f t="shared" si="5"/>
        <v>0</v>
      </c>
      <c r="O10" s="6">
        <f t="shared" si="1"/>
        <v>3009725.5862199999</v>
      </c>
      <c r="P10" s="6">
        <f t="shared" si="5"/>
        <v>0</v>
      </c>
      <c r="Q10" s="6">
        <f>SUM(Q11:Q16)</f>
        <v>3009725.5862199999</v>
      </c>
      <c r="R10" s="6">
        <f t="shared" si="5"/>
        <v>0</v>
      </c>
      <c r="S10" s="6">
        <f t="shared" si="2"/>
        <v>3009725.5862199999</v>
      </c>
      <c r="T10" s="6">
        <f t="shared" si="5"/>
        <v>0</v>
      </c>
      <c r="U10" s="6">
        <f>SUM(U11:U16)</f>
        <v>3009725.5862199999</v>
      </c>
      <c r="V10" s="6">
        <f t="shared" si="5"/>
        <v>0</v>
      </c>
      <c r="W10" s="22">
        <f t="shared" si="3"/>
        <v>74.48168176807026</v>
      </c>
      <c r="Y10" s="48">
        <f t="shared" si="4"/>
        <v>0</v>
      </c>
      <c r="Z10" s="48"/>
      <c r="AA10" s="45"/>
      <c r="AB10" s="45"/>
      <c r="AC10" s="45"/>
    </row>
    <row r="11" spans="1:29" ht="63.75" customHeight="1" x14ac:dyDescent="0.2">
      <c r="A11" s="26" t="s">
        <v>26</v>
      </c>
      <c r="B11" s="87" t="s">
        <v>278</v>
      </c>
      <c r="C11" s="31" t="s">
        <v>175</v>
      </c>
      <c r="D11" s="31"/>
      <c r="E11" s="31"/>
      <c r="F11" s="31" t="s">
        <v>52</v>
      </c>
      <c r="G11" s="10">
        <f>H11+I11+J11</f>
        <v>4021933.7</v>
      </c>
      <c r="H11" s="7"/>
      <c r="I11" s="10">
        <v>4021933.7</v>
      </c>
      <c r="J11" s="7">
        <v>0</v>
      </c>
      <c r="K11" s="7">
        <f t="shared" si="0"/>
        <v>4021933.7</v>
      </c>
      <c r="L11" s="7"/>
      <c r="M11" s="10">
        <v>4021933.7</v>
      </c>
      <c r="N11" s="7">
        <v>0</v>
      </c>
      <c r="O11" s="7">
        <f t="shared" si="1"/>
        <v>2995717.1</v>
      </c>
      <c r="P11" s="7">
        <f t="shared" ref="P11:P16" si="6">T11</f>
        <v>0</v>
      </c>
      <c r="Q11" s="35">
        <f>2995717100/1000</f>
        <v>2995717.1</v>
      </c>
      <c r="R11" s="7"/>
      <c r="S11" s="7">
        <f t="shared" si="2"/>
        <v>2995717.1</v>
      </c>
      <c r="T11" s="7"/>
      <c r="U11" s="35">
        <f>2995717100/1000</f>
        <v>2995717.1</v>
      </c>
      <c r="V11" s="7"/>
      <c r="W11" s="22">
        <f t="shared" si="3"/>
        <v>74.484497345145201</v>
      </c>
      <c r="Y11" s="72">
        <f>O11-S11</f>
        <v>0</v>
      </c>
      <c r="Z11" s="72"/>
      <c r="AA11" s="45"/>
      <c r="AB11" s="45"/>
      <c r="AC11" s="45"/>
    </row>
    <row r="12" spans="1:29" ht="15.75" customHeight="1" x14ac:dyDescent="0.2">
      <c r="A12" s="128" t="s">
        <v>27</v>
      </c>
      <c r="B12" s="102" t="s">
        <v>78</v>
      </c>
      <c r="C12" s="31" t="s">
        <v>174</v>
      </c>
      <c r="D12" s="31"/>
      <c r="E12" s="31"/>
      <c r="F12" s="31" t="s">
        <v>176</v>
      </c>
      <c r="G12" s="10">
        <f>H12+I12+J12</f>
        <v>950</v>
      </c>
      <c r="H12" s="7"/>
      <c r="I12" s="10">
        <v>950</v>
      </c>
      <c r="J12" s="7"/>
      <c r="K12" s="7">
        <f t="shared" si="0"/>
        <v>950</v>
      </c>
      <c r="L12" s="7"/>
      <c r="M12" s="10">
        <v>950</v>
      </c>
      <c r="N12" s="7"/>
      <c r="O12" s="7">
        <f t="shared" si="1"/>
        <v>260.81400000000002</v>
      </c>
      <c r="P12" s="7">
        <f t="shared" si="6"/>
        <v>0</v>
      </c>
      <c r="Q12" s="35">
        <f>260814/1000</f>
        <v>260.81400000000002</v>
      </c>
      <c r="R12" s="7"/>
      <c r="S12" s="7">
        <f t="shared" si="2"/>
        <v>260.81400000000002</v>
      </c>
      <c r="T12" s="7"/>
      <c r="U12" s="7">
        <f>260814/1000</f>
        <v>260.81400000000002</v>
      </c>
      <c r="V12" s="7"/>
      <c r="W12" s="22">
        <f t="shared" si="3"/>
        <v>27.454105263157896</v>
      </c>
      <c r="Y12" s="48">
        <f t="shared" si="4"/>
        <v>0</v>
      </c>
      <c r="Z12" s="48"/>
      <c r="AA12" s="45"/>
      <c r="AB12" s="45"/>
      <c r="AC12" s="45"/>
    </row>
    <row r="13" spans="1:29" ht="15.75" customHeight="1" x14ac:dyDescent="0.2">
      <c r="A13" s="130"/>
      <c r="B13" s="103"/>
      <c r="C13" s="31" t="s">
        <v>174</v>
      </c>
      <c r="D13" s="31"/>
      <c r="E13" s="31"/>
      <c r="F13" s="31" t="s">
        <v>68</v>
      </c>
      <c r="G13" s="10">
        <f t="shared" ref="G13:G32" si="7">H13+I13+J13</f>
        <v>350</v>
      </c>
      <c r="H13" s="7"/>
      <c r="I13" s="10">
        <v>350</v>
      </c>
      <c r="J13" s="7"/>
      <c r="K13" s="7">
        <f t="shared" si="0"/>
        <v>540.20000000000005</v>
      </c>
      <c r="L13" s="7"/>
      <c r="M13" s="10">
        <v>540.20000000000005</v>
      </c>
      <c r="N13" s="7"/>
      <c r="O13" s="7">
        <f t="shared" si="1"/>
        <v>6.2</v>
      </c>
      <c r="P13" s="7">
        <f t="shared" si="6"/>
        <v>0</v>
      </c>
      <c r="Q13" s="35">
        <f>6200/1000</f>
        <v>6.2</v>
      </c>
      <c r="R13" s="7"/>
      <c r="S13" s="7">
        <f t="shared" si="2"/>
        <v>6.2</v>
      </c>
      <c r="T13" s="7"/>
      <c r="U13" s="7">
        <f>6200/1000</f>
        <v>6.2</v>
      </c>
      <c r="V13" s="7"/>
      <c r="W13" s="22">
        <f t="shared" si="3"/>
        <v>1.1477230655312847</v>
      </c>
      <c r="Y13" s="48">
        <f t="shared" si="4"/>
        <v>0</v>
      </c>
      <c r="Z13" s="48"/>
      <c r="AA13" s="45"/>
      <c r="AB13" s="45"/>
      <c r="AC13" s="45"/>
    </row>
    <row r="14" spans="1:29" ht="15.75" customHeight="1" x14ac:dyDescent="0.2">
      <c r="A14" s="130"/>
      <c r="B14" s="103"/>
      <c r="C14" s="31" t="s">
        <v>174</v>
      </c>
      <c r="D14" s="31"/>
      <c r="E14" s="31"/>
      <c r="F14" s="31" t="s">
        <v>56</v>
      </c>
      <c r="G14" s="10">
        <f t="shared" si="7"/>
        <v>15700</v>
      </c>
      <c r="H14" s="7"/>
      <c r="I14" s="10">
        <v>15700</v>
      </c>
      <c r="J14" s="7"/>
      <c r="K14" s="7">
        <f t="shared" si="0"/>
        <v>15509.8</v>
      </c>
      <c r="L14" s="7"/>
      <c r="M14" s="10">
        <v>15509.8</v>
      </c>
      <c r="N14" s="7"/>
      <c r="O14" s="7">
        <f t="shared" si="1"/>
        <v>13560.421119999999</v>
      </c>
      <c r="P14" s="7">
        <f t="shared" si="6"/>
        <v>0</v>
      </c>
      <c r="Q14" s="35">
        <f>13560421.12/1000</f>
        <v>13560.421119999999</v>
      </c>
      <c r="R14" s="7"/>
      <c r="S14" s="7">
        <f t="shared" si="2"/>
        <v>13560.421119999999</v>
      </c>
      <c r="T14" s="7"/>
      <c r="U14" s="7">
        <f>13560421.12/1000</f>
        <v>13560.421119999999</v>
      </c>
      <c r="V14" s="7"/>
      <c r="W14" s="22">
        <f t="shared" si="3"/>
        <v>87.431308720937736</v>
      </c>
      <c r="Y14" s="48">
        <f t="shared" si="4"/>
        <v>0</v>
      </c>
      <c r="Z14" s="48"/>
      <c r="AA14" s="45"/>
      <c r="AB14" s="45"/>
      <c r="AC14" s="45"/>
    </row>
    <row r="15" spans="1:29" ht="15.75" customHeight="1" x14ac:dyDescent="0.2">
      <c r="A15" s="129"/>
      <c r="B15" s="104"/>
      <c r="C15" s="31" t="s">
        <v>174</v>
      </c>
      <c r="D15" s="31"/>
      <c r="E15" s="31"/>
      <c r="F15" s="31" t="s">
        <v>54</v>
      </c>
      <c r="G15" s="10">
        <f t="shared" si="7"/>
        <v>1960</v>
      </c>
      <c r="H15" s="7"/>
      <c r="I15" s="10">
        <v>1960</v>
      </c>
      <c r="J15" s="7"/>
      <c r="K15" s="7">
        <f t="shared" si="0"/>
        <v>1960</v>
      </c>
      <c r="L15" s="7"/>
      <c r="M15" s="10">
        <v>1960</v>
      </c>
      <c r="N15" s="7"/>
      <c r="O15" s="7">
        <f t="shared" si="1"/>
        <v>181.05110000000002</v>
      </c>
      <c r="P15" s="7">
        <f t="shared" si="6"/>
        <v>0</v>
      </c>
      <c r="Q15" s="35">
        <f>181051.1/1000</f>
        <v>181.05110000000002</v>
      </c>
      <c r="R15" s="7"/>
      <c r="S15" s="7">
        <f t="shared" si="2"/>
        <v>181.05110000000002</v>
      </c>
      <c r="T15" s="7"/>
      <c r="U15" s="7">
        <f>181051.1/1000</f>
        <v>181.05110000000002</v>
      </c>
      <c r="V15" s="7"/>
      <c r="W15" s="22">
        <f t="shared" si="3"/>
        <v>9.2373010204081627</v>
      </c>
      <c r="Y15" s="48">
        <f t="shared" si="4"/>
        <v>0</v>
      </c>
      <c r="Z15" s="48"/>
      <c r="AA15" s="45"/>
      <c r="AB15" s="45"/>
      <c r="AC15" s="45"/>
    </row>
    <row r="16" spans="1:29" ht="68.25" hidden="1" customHeight="1" x14ac:dyDescent="0.2">
      <c r="A16" s="42" t="s">
        <v>32</v>
      </c>
      <c r="B16" s="27"/>
      <c r="C16" s="31"/>
      <c r="D16" s="31"/>
      <c r="E16" s="31"/>
      <c r="F16" s="31"/>
      <c r="G16" s="10">
        <f t="shared" si="7"/>
        <v>0</v>
      </c>
      <c r="H16" s="7"/>
      <c r="I16" s="10"/>
      <c r="J16" s="7"/>
      <c r="K16" s="7">
        <f t="shared" si="0"/>
        <v>0</v>
      </c>
      <c r="L16" s="7"/>
      <c r="M16" s="10"/>
      <c r="N16" s="7"/>
      <c r="O16" s="7">
        <f t="shared" si="1"/>
        <v>0</v>
      </c>
      <c r="P16" s="7">
        <f t="shared" si="6"/>
        <v>0</v>
      </c>
      <c r="Q16" s="7">
        <f>U16</f>
        <v>0</v>
      </c>
      <c r="R16" s="7"/>
      <c r="S16" s="7">
        <f t="shared" si="2"/>
        <v>0</v>
      </c>
      <c r="T16" s="7"/>
      <c r="U16" s="7"/>
      <c r="V16" s="7"/>
      <c r="W16" s="22" t="e">
        <f t="shared" si="3"/>
        <v>#DIV/0!</v>
      </c>
      <c r="Y16" s="48">
        <f t="shared" si="4"/>
        <v>0</v>
      </c>
      <c r="Z16" s="48"/>
      <c r="AA16" s="45"/>
      <c r="AB16" s="45"/>
      <c r="AC16" s="45"/>
    </row>
    <row r="17" spans="1:29" ht="39" customHeight="1" x14ac:dyDescent="0.2">
      <c r="A17" s="24" t="s">
        <v>7</v>
      </c>
      <c r="B17" s="25" t="s">
        <v>107</v>
      </c>
      <c r="C17" s="24"/>
      <c r="D17" s="24"/>
      <c r="E17" s="24"/>
      <c r="F17" s="24"/>
      <c r="G17" s="14">
        <f>H17+I17+J17</f>
        <v>305632.7</v>
      </c>
      <c r="H17" s="6">
        <f>SUM(H18:H32)</f>
        <v>70953.100000000006</v>
      </c>
      <c r="I17" s="6">
        <f>SUM(I18:I32)</f>
        <v>234679.6</v>
      </c>
      <c r="J17" s="6">
        <f>SUM(J18:J32)</f>
        <v>0</v>
      </c>
      <c r="K17" s="6">
        <f>L17+M17+N17</f>
        <v>298498.7</v>
      </c>
      <c r="L17" s="6">
        <f>SUM(L18:L32)</f>
        <v>70953.100000000006</v>
      </c>
      <c r="M17" s="6">
        <f>SUM(M18:M32)</f>
        <v>227545.60000000001</v>
      </c>
      <c r="N17" s="6">
        <f>SUM(N18:N32)</f>
        <v>0</v>
      </c>
      <c r="O17" s="6">
        <f>P17+Q17+R17</f>
        <v>130023.81926999996</v>
      </c>
      <c r="P17" s="6">
        <f>SUM(P18:P32)</f>
        <v>17468.092359999999</v>
      </c>
      <c r="Q17" s="6">
        <f>SUM(Q18:Q32)</f>
        <v>112555.72690999997</v>
      </c>
      <c r="R17" s="6">
        <f>SUM(R18:R32)</f>
        <v>0</v>
      </c>
      <c r="S17" s="6">
        <f>T17+U17+V17</f>
        <v>121005.66139999997</v>
      </c>
      <c r="T17" s="6">
        <f>SUM(T18:T32)</f>
        <v>9126.3977500000001</v>
      </c>
      <c r="U17" s="6">
        <f>SUM(U18:U32)</f>
        <v>111879.26364999996</v>
      </c>
      <c r="V17" s="6">
        <f>SUM(V18:V32)</f>
        <v>0</v>
      </c>
      <c r="W17" s="22">
        <f t="shared" si="3"/>
        <v>40.538086564531092</v>
      </c>
      <c r="Y17" s="48">
        <f t="shared" si="4"/>
        <v>9018.1578699999955</v>
      </c>
      <c r="Z17" s="48"/>
      <c r="AA17" s="45"/>
      <c r="AB17" s="45"/>
      <c r="AC17" s="45"/>
    </row>
    <row r="18" spans="1:29" ht="87.75" customHeight="1" x14ac:dyDescent="0.2">
      <c r="A18" s="26" t="s">
        <v>29</v>
      </c>
      <c r="B18" s="28" t="s">
        <v>79</v>
      </c>
      <c r="C18" s="31" t="s">
        <v>177</v>
      </c>
      <c r="D18" s="31"/>
      <c r="E18" s="31"/>
      <c r="F18" s="31" t="s">
        <v>52</v>
      </c>
      <c r="G18" s="10">
        <f t="shared" si="7"/>
        <v>10497.9</v>
      </c>
      <c r="H18" s="7"/>
      <c r="I18" s="10">
        <v>10497.9</v>
      </c>
      <c r="J18" s="7">
        <v>0</v>
      </c>
      <c r="K18" s="7">
        <f t="shared" ref="K18:K32" si="8">SUM(L18:N18)</f>
        <v>10497.9</v>
      </c>
      <c r="L18" s="7"/>
      <c r="M18" s="10">
        <v>10497.9</v>
      </c>
      <c r="N18" s="7"/>
      <c r="O18" s="7">
        <f t="shared" ref="O18:O32" si="9">SUM(P18:R18)</f>
        <v>1536.4107900000001</v>
      </c>
      <c r="P18" s="7">
        <f>T18</f>
        <v>0</v>
      </c>
      <c r="Q18" s="35">
        <f>1536410.79/1000</f>
        <v>1536.4107900000001</v>
      </c>
      <c r="R18" s="7"/>
      <c r="S18" s="7">
        <f t="shared" ref="S18:S28" si="10">SUM(T18:V18)</f>
        <v>1536.4107900000001</v>
      </c>
      <c r="T18" s="7"/>
      <c r="U18" s="7">
        <f>1536410.79/1000</f>
        <v>1536.4107900000001</v>
      </c>
      <c r="V18" s="7"/>
      <c r="W18" s="22">
        <f t="shared" si="3"/>
        <v>14.635410796445006</v>
      </c>
      <c r="Y18" s="70">
        <f>O18-S18</f>
        <v>0</v>
      </c>
      <c r="Z18" s="70"/>
      <c r="AA18" s="71"/>
      <c r="AB18" s="45"/>
      <c r="AC18" s="45"/>
    </row>
    <row r="19" spans="1:29" ht="49.5" customHeight="1" x14ac:dyDescent="0.2">
      <c r="A19" s="26" t="s">
        <v>33</v>
      </c>
      <c r="B19" s="28" t="s">
        <v>80</v>
      </c>
      <c r="C19" s="31" t="s">
        <v>178</v>
      </c>
      <c r="D19" s="31"/>
      <c r="E19" s="31"/>
      <c r="F19" s="31" t="s">
        <v>55</v>
      </c>
      <c r="G19" s="10">
        <f t="shared" si="7"/>
        <v>138991</v>
      </c>
      <c r="H19" s="7"/>
      <c r="I19" s="10">
        <v>138991</v>
      </c>
      <c r="J19" s="7">
        <v>0</v>
      </c>
      <c r="K19" s="7">
        <f t="shared" si="8"/>
        <v>138991</v>
      </c>
      <c r="L19" s="7"/>
      <c r="M19" s="10">
        <v>138991</v>
      </c>
      <c r="N19" s="7"/>
      <c r="O19" s="7">
        <f t="shared" si="9"/>
        <v>66468.388780000008</v>
      </c>
      <c r="P19" s="7"/>
      <c r="Q19" s="35">
        <f>66468388.78/1000</f>
        <v>66468.388780000008</v>
      </c>
      <c r="R19" s="7"/>
      <c r="S19" s="7">
        <f t="shared" si="10"/>
        <v>66468.388780000008</v>
      </c>
      <c r="T19" s="7"/>
      <c r="U19" s="7">
        <f>66468388.78/1000</f>
        <v>66468.388780000008</v>
      </c>
      <c r="V19" s="7"/>
      <c r="W19" s="22">
        <f t="shared" si="3"/>
        <v>47.822081127555023</v>
      </c>
      <c r="Y19" s="48">
        <f t="shared" si="4"/>
        <v>0</v>
      </c>
      <c r="Z19" s="48"/>
      <c r="AA19" s="45"/>
      <c r="AB19" s="45"/>
      <c r="AC19" s="45"/>
    </row>
    <row r="20" spans="1:29" ht="45" customHeight="1" x14ac:dyDescent="0.2">
      <c r="A20" s="26" t="s">
        <v>34</v>
      </c>
      <c r="B20" s="28" t="s">
        <v>108</v>
      </c>
      <c r="C20" s="31" t="s">
        <v>179</v>
      </c>
      <c r="D20" s="31"/>
      <c r="E20" s="31"/>
      <c r="F20" s="31" t="s">
        <v>54</v>
      </c>
      <c r="G20" s="10">
        <f t="shared" si="7"/>
        <v>55635</v>
      </c>
      <c r="H20" s="7"/>
      <c r="I20" s="10">
        <v>55635</v>
      </c>
      <c r="J20" s="7"/>
      <c r="K20" s="7">
        <f t="shared" si="8"/>
        <v>46881</v>
      </c>
      <c r="L20" s="7"/>
      <c r="M20" s="10">
        <v>46881</v>
      </c>
      <c r="N20" s="7"/>
      <c r="O20" s="7">
        <f t="shared" si="9"/>
        <v>26464.004410000001</v>
      </c>
      <c r="P20" s="7"/>
      <c r="Q20" s="35">
        <f>26464004.41/1000</f>
        <v>26464.004410000001</v>
      </c>
      <c r="R20" s="7"/>
      <c r="S20" s="7">
        <f t="shared" si="10"/>
        <v>26464.004410000001</v>
      </c>
      <c r="T20" s="7"/>
      <c r="U20" s="7">
        <f>26464004.41/1000</f>
        <v>26464.004410000001</v>
      </c>
      <c r="V20" s="7"/>
      <c r="W20" s="22">
        <f t="shared" si="3"/>
        <v>56.449317228728056</v>
      </c>
      <c r="Y20" s="48">
        <f t="shared" si="4"/>
        <v>0</v>
      </c>
      <c r="Z20" s="48"/>
      <c r="AA20" s="45"/>
      <c r="AB20" s="45"/>
      <c r="AC20" s="45"/>
    </row>
    <row r="21" spans="1:29" ht="42.75" customHeight="1" x14ac:dyDescent="0.2">
      <c r="A21" s="26" t="s">
        <v>35</v>
      </c>
      <c r="B21" s="28" t="s">
        <v>81</v>
      </c>
      <c r="C21" s="31" t="s">
        <v>180</v>
      </c>
      <c r="D21" s="31"/>
      <c r="E21" s="31"/>
      <c r="F21" s="31" t="s">
        <v>54</v>
      </c>
      <c r="G21" s="10">
        <f t="shared" si="7"/>
        <v>3930</v>
      </c>
      <c r="H21" s="7"/>
      <c r="I21" s="10">
        <v>3930</v>
      </c>
      <c r="J21" s="7"/>
      <c r="K21" s="7">
        <f t="shared" si="8"/>
        <v>3930</v>
      </c>
      <c r="L21" s="7"/>
      <c r="M21" s="10">
        <v>3930</v>
      </c>
      <c r="N21" s="7"/>
      <c r="O21" s="7">
        <f t="shared" si="9"/>
        <v>3930</v>
      </c>
      <c r="P21" s="7"/>
      <c r="Q21" s="35">
        <f>3930000/1000</f>
        <v>3930</v>
      </c>
      <c r="R21" s="7"/>
      <c r="S21" s="7">
        <f t="shared" si="10"/>
        <v>3930</v>
      </c>
      <c r="T21" s="7"/>
      <c r="U21" s="7">
        <f>3930000/1000</f>
        <v>3930</v>
      </c>
      <c r="V21" s="7"/>
      <c r="W21" s="22">
        <f t="shared" si="3"/>
        <v>100</v>
      </c>
      <c r="Y21" s="48">
        <f t="shared" si="4"/>
        <v>0</v>
      </c>
      <c r="Z21" s="48"/>
      <c r="AA21" s="45"/>
      <c r="AB21" s="45"/>
      <c r="AC21" s="45"/>
    </row>
    <row r="22" spans="1:29" ht="49.5" customHeight="1" x14ac:dyDescent="0.2">
      <c r="A22" s="26" t="s">
        <v>36</v>
      </c>
      <c r="B22" s="28" t="s">
        <v>103</v>
      </c>
      <c r="C22" s="31" t="s">
        <v>181</v>
      </c>
      <c r="D22" s="31"/>
      <c r="E22" s="31"/>
      <c r="F22" s="31" t="s">
        <v>54</v>
      </c>
      <c r="G22" s="10">
        <f t="shared" si="7"/>
        <v>2500</v>
      </c>
      <c r="H22" s="7"/>
      <c r="I22" s="10">
        <v>2500</v>
      </c>
      <c r="J22" s="7"/>
      <c r="K22" s="7">
        <f t="shared" si="8"/>
        <v>6200</v>
      </c>
      <c r="L22" s="7"/>
      <c r="M22" s="10">
        <f>4700+1500</f>
        <v>6200</v>
      </c>
      <c r="N22" s="7"/>
      <c r="O22" s="7">
        <f t="shared" si="9"/>
        <v>3390.2689399999999</v>
      </c>
      <c r="P22" s="7"/>
      <c r="Q22" s="35">
        <f>3390268.94/1000</f>
        <v>3390.2689399999999</v>
      </c>
      <c r="R22" s="7"/>
      <c r="S22" s="7">
        <f t="shared" si="10"/>
        <v>3390.2689399999999</v>
      </c>
      <c r="T22" s="7"/>
      <c r="U22" s="7">
        <f>3390268.94/1000</f>
        <v>3390.2689399999999</v>
      </c>
      <c r="V22" s="7"/>
      <c r="W22" s="22">
        <f t="shared" si="3"/>
        <v>54.681757096774191</v>
      </c>
      <c r="Y22" s="48">
        <f t="shared" si="4"/>
        <v>0</v>
      </c>
      <c r="Z22" s="48"/>
      <c r="AA22" s="45"/>
      <c r="AB22" s="45"/>
      <c r="AC22" s="45"/>
    </row>
    <row r="23" spans="1:29" ht="40.5" hidden="1" customHeight="1" x14ac:dyDescent="0.2">
      <c r="A23" s="26" t="s">
        <v>37</v>
      </c>
      <c r="B23" s="28" t="s">
        <v>99</v>
      </c>
      <c r="C23" s="31" t="s">
        <v>182</v>
      </c>
      <c r="D23" s="31"/>
      <c r="E23" s="31"/>
      <c r="F23" s="31" t="s">
        <v>54</v>
      </c>
      <c r="G23" s="10">
        <f t="shared" si="7"/>
        <v>0</v>
      </c>
      <c r="H23" s="7"/>
      <c r="I23" s="10">
        <v>0</v>
      </c>
      <c r="J23" s="7"/>
      <c r="K23" s="7">
        <f t="shared" si="8"/>
        <v>0</v>
      </c>
      <c r="L23" s="7"/>
      <c r="M23" s="10"/>
      <c r="N23" s="7"/>
      <c r="O23" s="7">
        <f t="shared" si="9"/>
        <v>0</v>
      </c>
      <c r="P23" s="7">
        <f>T23</f>
        <v>0</v>
      </c>
      <c r="Q23" s="35">
        <v>0</v>
      </c>
      <c r="R23" s="7"/>
      <c r="S23" s="7">
        <f t="shared" si="10"/>
        <v>0</v>
      </c>
      <c r="T23" s="7"/>
      <c r="U23" s="7">
        <v>0</v>
      </c>
      <c r="V23" s="7"/>
      <c r="W23" s="22" t="e">
        <f t="shared" si="3"/>
        <v>#DIV/0!</v>
      </c>
      <c r="Y23" s="48">
        <f t="shared" si="4"/>
        <v>0</v>
      </c>
      <c r="Z23" s="48"/>
      <c r="AA23" s="45"/>
      <c r="AB23" s="45"/>
      <c r="AC23" s="45"/>
    </row>
    <row r="24" spans="1:29" ht="69" customHeight="1" x14ac:dyDescent="0.2">
      <c r="A24" s="26" t="s">
        <v>38</v>
      </c>
      <c r="B24" s="28" t="s">
        <v>109</v>
      </c>
      <c r="C24" s="31" t="s">
        <v>183</v>
      </c>
      <c r="D24" s="31"/>
      <c r="E24" s="31"/>
      <c r="F24" s="31" t="s">
        <v>55</v>
      </c>
      <c r="G24" s="10">
        <f t="shared" si="7"/>
        <v>2000</v>
      </c>
      <c r="H24" s="7"/>
      <c r="I24" s="10">
        <v>2000</v>
      </c>
      <c r="J24" s="7"/>
      <c r="K24" s="7">
        <f t="shared" si="8"/>
        <v>2000</v>
      </c>
      <c r="L24" s="7"/>
      <c r="M24" s="10">
        <v>2000</v>
      </c>
      <c r="N24" s="7"/>
      <c r="O24" s="7">
        <f t="shared" si="9"/>
        <v>602.68949999999995</v>
      </c>
      <c r="P24" s="7">
        <f>T24</f>
        <v>0</v>
      </c>
      <c r="Q24" s="35">
        <f>602689.5/1000</f>
        <v>602.68949999999995</v>
      </c>
      <c r="R24" s="7"/>
      <c r="S24" s="7">
        <f t="shared" si="10"/>
        <v>602.68949999999995</v>
      </c>
      <c r="T24" s="7"/>
      <c r="U24" s="7">
        <f>602689.5/1000</f>
        <v>602.68949999999995</v>
      </c>
      <c r="V24" s="7"/>
      <c r="W24" s="22">
        <f t="shared" si="3"/>
        <v>30.134474999999998</v>
      </c>
      <c r="Y24" s="48">
        <f t="shared" si="4"/>
        <v>0</v>
      </c>
      <c r="Z24" s="48"/>
      <c r="AA24" s="45"/>
      <c r="AB24" s="45"/>
      <c r="AC24" s="45"/>
    </row>
    <row r="25" spans="1:29" ht="38.25" customHeight="1" x14ac:dyDescent="0.2">
      <c r="A25" s="26" t="s">
        <v>39</v>
      </c>
      <c r="B25" s="28" t="s">
        <v>110</v>
      </c>
      <c r="C25" s="31" t="s">
        <v>274</v>
      </c>
      <c r="D25" s="31"/>
      <c r="E25" s="31"/>
      <c r="F25" s="31" t="s">
        <v>55</v>
      </c>
      <c r="G25" s="10">
        <f t="shared" si="7"/>
        <v>2000</v>
      </c>
      <c r="H25" s="7"/>
      <c r="I25" s="10">
        <v>2000</v>
      </c>
      <c r="J25" s="7"/>
      <c r="K25" s="7">
        <f t="shared" si="8"/>
        <v>1500</v>
      </c>
      <c r="L25" s="7"/>
      <c r="M25" s="10">
        <v>1500</v>
      </c>
      <c r="N25" s="7"/>
      <c r="O25" s="7">
        <f t="shared" si="9"/>
        <v>606.57485999999994</v>
      </c>
      <c r="P25" s="7">
        <f>T25</f>
        <v>0</v>
      </c>
      <c r="Q25" s="35">
        <f>606574.86/1000</f>
        <v>606.57485999999994</v>
      </c>
      <c r="R25" s="7"/>
      <c r="S25" s="7">
        <f t="shared" si="10"/>
        <v>606.57485999999994</v>
      </c>
      <c r="T25" s="7"/>
      <c r="U25" s="7">
        <f>606574.86/1000</f>
        <v>606.57485999999994</v>
      </c>
      <c r="V25" s="7"/>
      <c r="W25" s="22">
        <f t="shared" si="3"/>
        <v>40.438324000000001</v>
      </c>
      <c r="X25" s="44"/>
      <c r="Y25" s="48">
        <f t="shared" si="4"/>
        <v>0</v>
      </c>
      <c r="Z25" s="48"/>
      <c r="AA25" s="45"/>
      <c r="AB25" s="45"/>
      <c r="AC25" s="45"/>
    </row>
    <row r="26" spans="1:29" ht="36" customHeight="1" x14ac:dyDescent="0.2">
      <c r="A26" s="26" t="s">
        <v>98</v>
      </c>
      <c r="B26" s="28" t="s">
        <v>111</v>
      </c>
      <c r="C26" s="31" t="s">
        <v>184</v>
      </c>
      <c r="D26" s="31"/>
      <c r="E26" s="31"/>
      <c r="F26" s="31" t="s">
        <v>54</v>
      </c>
      <c r="G26" s="10">
        <f t="shared" si="7"/>
        <v>10600</v>
      </c>
      <c r="H26" s="7"/>
      <c r="I26" s="10">
        <v>10600</v>
      </c>
      <c r="J26" s="7"/>
      <c r="K26" s="7">
        <f t="shared" si="8"/>
        <v>9020</v>
      </c>
      <c r="L26" s="35"/>
      <c r="M26" s="10">
        <v>9020</v>
      </c>
      <c r="N26" s="7"/>
      <c r="O26" s="7">
        <f t="shared" si="9"/>
        <v>8820.1275600000008</v>
      </c>
      <c r="P26" s="7"/>
      <c r="Q26" s="35">
        <f>8820127.56/1000</f>
        <v>8820.1275600000008</v>
      </c>
      <c r="R26" s="7"/>
      <c r="S26" s="7">
        <f t="shared" si="10"/>
        <v>8820.1275600000008</v>
      </c>
      <c r="T26" s="7"/>
      <c r="U26" s="7">
        <f>8820127.56/1000</f>
        <v>8820.1275600000008</v>
      </c>
      <c r="V26" s="7"/>
      <c r="W26" s="22">
        <f t="shared" si="3"/>
        <v>97.78411929046564</v>
      </c>
      <c r="X26" s="44"/>
      <c r="Y26" s="48">
        <f t="shared" si="4"/>
        <v>0</v>
      </c>
      <c r="Z26" s="48"/>
      <c r="AA26" s="45"/>
      <c r="AB26" s="45"/>
      <c r="AC26" s="45"/>
    </row>
    <row r="27" spans="1:29" ht="39.75" customHeight="1" x14ac:dyDescent="0.2">
      <c r="A27" s="26" t="s">
        <v>40</v>
      </c>
      <c r="B27" s="28" t="s">
        <v>112</v>
      </c>
      <c r="C27" s="31" t="s">
        <v>185</v>
      </c>
      <c r="D27" s="31" t="s">
        <v>185</v>
      </c>
      <c r="E27" s="31"/>
      <c r="F27" s="31" t="s">
        <v>56</v>
      </c>
      <c r="G27" s="10">
        <f t="shared" si="7"/>
        <v>338.8</v>
      </c>
      <c r="H27" s="7">
        <v>311.7</v>
      </c>
      <c r="I27" s="10">
        <v>27.1</v>
      </c>
      <c r="J27" s="7"/>
      <c r="K27" s="7">
        <f t="shared" si="8"/>
        <v>338.8</v>
      </c>
      <c r="L27" s="7">
        <v>311.7</v>
      </c>
      <c r="M27" s="10">
        <v>27.1</v>
      </c>
      <c r="N27" s="7"/>
      <c r="O27" s="7">
        <f t="shared" si="9"/>
        <v>0</v>
      </c>
      <c r="P27" s="7">
        <v>0</v>
      </c>
      <c r="Q27" s="7">
        <v>0</v>
      </c>
      <c r="R27" s="7"/>
      <c r="S27" s="7">
        <f t="shared" si="10"/>
        <v>0</v>
      </c>
      <c r="T27" s="7"/>
      <c r="U27" s="7">
        <v>0</v>
      </c>
      <c r="V27" s="7"/>
      <c r="W27" s="22">
        <f t="shared" si="3"/>
        <v>0</v>
      </c>
      <c r="X27" s="44"/>
      <c r="Y27" s="48">
        <f t="shared" si="4"/>
        <v>0</v>
      </c>
      <c r="Z27" s="48"/>
      <c r="AA27" s="45"/>
      <c r="AB27" s="45"/>
      <c r="AC27" s="45"/>
    </row>
    <row r="28" spans="1:29" ht="79.5" customHeight="1" x14ac:dyDescent="0.2">
      <c r="A28" s="26" t="s">
        <v>235</v>
      </c>
      <c r="B28" s="28" t="s">
        <v>279</v>
      </c>
      <c r="C28" s="31" t="s">
        <v>236</v>
      </c>
      <c r="D28" s="31"/>
      <c r="E28" s="31"/>
      <c r="F28" s="31" t="s">
        <v>56</v>
      </c>
      <c r="G28" s="10">
        <f t="shared" si="7"/>
        <v>500</v>
      </c>
      <c r="H28" s="7"/>
      <c r="I28" s="10">
        <v>500</v>
      </c>
      <c r="J28" s="7"/>
      <c r="K28" s="7">
        <f t="shared" si="8"/>
        <v>500</v>
      </c>
      <c r="L28" s="7"/>
      <c r="M28" s="10">
        <f>150+200+150</f>
        <v>500</v>
      </c>
      <c r="N28" s="7"/>
      <c r="O28" s="7">
        <f t="shared" si="9"/>
        <v>0</v>
      </c>
      <c r="P28" s="7">
        <v>0</v>
      </c>
      <c r="Q28" s="7">
        <v>0</v>
      </c>
      <c r="R28" s="7"/>
      <c r="S28" s="7">
        <f t="shared" si="10"/>
        <v>0</v>
      </c>
      <c r="T28" s="7"/>
      <c r="U28" s="7">
        <v>0</v>
      </c>
      <c r="V28" s="7"/>
      <c r="W28" s="22"/>
      <c r="X28" s="44"/>
      <c r="Y28" s="48"/>
      <c r="Z28" s="48"/>
      <c r="AA28" s="45"/>
      <c r="AB28" s="45"/>
      <c r="AC28" s="45"/>
    </row>
    <row r="29" spans="1:29" ht="81" hidden="1" customHeight="1" x14ac:dyDescent="0.2">
      <c r="A29" s="26" t="s">
        <v>237</v>
      </c>
      <c r="B29" s="28" t="s">
        <v>280</v>
      </c>
      <c r="C29" s="31" t="s">
        <v>238</v>
      </c>
      <c r="D29" s="31" t="s">
        <v>238</v>
      </c>
      <c r="E29" s="31"/>
      <c r="F29" s="31" t="s">
        <v>53</v>
      </c>
      <c r="G29" s="10">
        <f t="shared" si="7"/>
        <v>0</v>
      </c>
      <c r="H29" s="7"/>
      <c r="I29" s="10"/>
      <c r="J29" s="7"/>
      <c r="K29" s="7">
        <f t="shared" si="8"/>
        <v>0</v>
      </c>
      <c r="L29" s="7"/>
      <c r="M29" s="10"/>
      <c r="N29" s="7"/>
      <c r="O29" s="7">
        <f t="shared" si="9"/>
        <v>0</v>
      </c>
      <c r="P29" s="7">
        <v>0</v>
      </c>
      <c r="Q29" s="7">
        <v>0</v>
      </c>
      <c r="R29" s="7"/>
      <c r="S29" s="7">
        <f>SUM(T29:V29)</f>
        <v>0</v>
      </c>
      <c r="T29" s="7"/>
      <c r="U29" s="7">
        <v>0</v>
      </c>
      <c r="V29" s="7"/>
      <c r="W29" s="22"/>
      <c r="X29" s="44"/>
      <c r="Y29" s="48"/>
      <c r="Z29" s="48"/>
      <c r="AA29" s="45"/>
      <c r="AB29" s="45"/>
      <c r="AC29" s="45"/>
    </row>
    <row r="30" spans="1:29" ht="61.5" customHeight="1" x14ac:dyDescent="0.2">
      <c r="A30" s="116" t="s">
        <v>239</v>
      </c>
      <c r="B30" s="100" t="s">
        <v>281</v>
      </c>
      <c r="C30" s="78"/>
      <c r="D30" s="31" t="s">
        <v>240</v>
      </c>
      <c r="E30" s="31"/>
      <c r="F30" s="31" t="s">
        <v>241</v>
      </c>
      <c r="G30" s="10">
        <f>H30+I30+J30</f>
        <v>35388.300000000003</v>
      </c>
      <c r="H30" s="7">
        <v>35388.300000000003</v>
      </c>
      <c r="I30" s="10"/>
      <c r="J30" s="7"/>
      <c r="K30" s="7">
        <f>SUM(L30:N30)</f>
        <v>35388.300000000003</v>
      </c>
      <c r="L30" s="41">
        <v>35388.300000000003</v>
      </c>
      <c r="M30" s="10"/>
      <c r="N30" s="7"/>
      <c r="O30" s="7">
        <f t="shared" si="9"/>
        <v>8729.91</v>
      </c>
      <c r="P30" s="35">
        <f>8729910/1000</f>
        <v>8729.91</v>
      </c>
      <c r="Q30" s="7"/>
      <c r="R30" s="7"/>
      <c r="S30" s="7">
        <f>SUM(T30:V30)</f>
        <v>8167.4972900000002</v>
      </c>
      <c r="T30" s="7">
        <v>8167.4972900000002</v>
      </c>
      <c r="U30" s="7"/>
      <c r="V30" s="7"/>
      <c r="W30" s="22"/>
      <c r="X30" s="44"/>
      <c r="Y30" s="48"/>
      <c r="Z30" s="48"/>
      <c r="AA30" s="45"/>
      <c r="AB30" s="45"/>
      <c r="AC30" s="45"/>
    </row>
    <row r="31" spans="1:29" ht="61.5" customHeight="1" x14ac:dyDescent="0.2">
      <c r="A31" s="118"/>
      <c r="B31" s="101"/>
      <c r="C31" s="78"/>
      <c r="D31" s="31" t="s">
        <v>275</v>
      </c>
      <c r="E31" s="31"/>
      <c r="F31" s="31" t="s">
        <v>54</v>
      </c>
      <c r="G31" s="10">
        <f t="shared" si="7"/>
        <v>1093.7</v>
      </c>
      <c r="H31" s="7">
        <v>1093.7</v>
      </c>
      <c r="I31" s="10"/>
      <c r="J31" s="7"/>
      <c r="K31" s="7">
        <f t="shared" si="8"/>
        <v>1093.7</v>
      </c>
      <c r="L31" s="41">
        <v>1093.7</v>
      </c>
      <c r="M31" s="41"/>
      <c r="N31" s="7"/>
      <c r="O31" s="7">
        <f t="shared" si="9"/>
        <v>259.71816999999999</v>
      </c>
      <c r="P31" s="35">
        <f>259718.17/1000</f>
        <v>259.71816999999999</v>
      </c>
      <c r="Q31" s="7"/>
      <c r="R31" s="7"/>
      <c r="S31" s="7">
        <f>SUM(T31:V31)</f>
        <v>259.71816999999999</v>
      </c>
      <c r="T31" s="7">
        <v>259.71816999999999</v>
      </c>
      <c r="U31" s="7"/>
      <c r="V31" s="7"/>
      <c r="W31" s="22"/>
      <c r="X31" s="44"/>
      <c r="Y31" s="48"/>
      <c r="Z31" s="48"/>
      <c r="AA31" s="45"/>
      <c r="AB31" s="45"/>
      <c r="AC31" s="45"/>
    </row>
    <row r="32" spans="1:29" ht="114.75" customHeight="1" x14ac:dyDescent="0.2">
      <c r="A32" s="26" t="s">
        <v>242</v>
      </c>
      <c r="B32" s="28" t="s">
        <v>243</v>
      </c>
      <c r="C32" s="78" t="s">
        <v>244</v>
      </c>
      <c r="D32" s="31" t="s">
        <v>244</v>
      </c>
      <c r="E32" s="31"/>
      <c r="F32" s="31" t="s">
        <v>55</v>
      </c>
      <c r="G32" s="10">
        <f t="shared" si="7"/>
        <v>42158</v>
      </c>
      <c r="H32" s="35">
        <v>34159.4</v>
      </c>
      <c r="I32" s="10">
        <v>7998.6</v>
      </c>
      <c r="J32" s="7"/>
      <c r="K32" s="7">
        <f t="shared" si="8"/>
        <v>42158</v>
      </c>
      <c r="L32" s="7">
        <v>34159.4</v>
      </c>
      <c r="M32" s="10">
        <v>7998.6</v>
      </c>
      <c r="N32" s="7"/>
      <c r="O32" s="7">
        <f t="shared" si="9"/>
        <v>9215.7262599999995</v>
      </c>
      <c r="P32" s="35">
        <f>8478464.19/1000</f>
        <v>8478.4641899999988</v>
      </c>
      <c r="Q32" s="35">
        <f>737262.07/1000</f>
        <v>737.26206999999999</v>
      </c>
      <c r="R32" s="7"/>
      <c r="S32" s="7">
        <f>SUM(T32:V32)</f>
        <v>759.98110000000008</v>
      </c>
      <c r="T32" s="35">
        <f>699182.29/1000</f>
        <v>699.18229000000008</v>
      </c>
      <c r="U32" s="35">
        <f>60798.81/1000</f>
        <v>60.798809999999996</v>
      </c>
      <c r="V32" s="7"/>
      <c r="W32" s="22"/>
      <c r="X32" s="44"/>
      <c r="Y32" s="48"/>
      <c r="Z32" s="48"/>
      <c r="AA32" s="45"/>
      <c r="AB32" s="45"/>
      <c r="AC32" s="45"/>
    </row>
    <row r="33" spans="1:29" ht="38.25" customHeight="1" x14ac:dyDescent="0.2">
      <c r="A33" s="24" t="s">
        <v>8</v>
      </c>
      <c r="B33" s="25" t="s">
        <v>113</v>
      </c>
      <c r="C33" s="32"/>
      <c r="D33" s="32"/>
      <c r="E33" s="32"/>
      <c r="F33" s="32"/>
      <c r="G33" s="14">
        <f>SUM(H33:J33)</f>
        <v>28500</v>
      </c>
      <c r="H33" s="14">
        <f>SUM(H34:H39)</f>
        <v>0</v>
      </c>
      <c r="I33" s="14">
        <f>SUM(I34:I39)</f>
        <v>28500</v>
      </c>
      <c r="J33" s="14">
        <f>SUM(J34:J39)</f>
        <v>0</v>
      </c>
      <c r="K33" s="14">
        <f>SUM(L33:N33)</f>
        <v>36329</v>
      </c>
      <c r="L33" s="14">
        <f>SUM(L34:L39)</f>
        <v>0</v>
      </c>
      <c r="M33" s="14">
        <f>SUM(M34:M39)</f>
        <v>36329</v>
      </c>
      <c r="N33" s="14">
        <f>SUM(N34:N39)</f>
        <v>0</v>
      </c>
      <c r="O33" s="14">
        <f t="shared" ref="O33:O39" si="11">SUM(P33:R33)</f>
        <v>21880.619379999996</v>
      </c>
      <c r="P33" s="14">
        <f t="shared" ref="P33:V33" si="12">SUM(P34:P39)</f>
        <v>0</v>
      </c>
      <c r="Q33" s="14">
        <f t="shared" si="12"/>
        <v>21880.619379999996</v>
      </c>
      <c r="R33" s="14">
        <f t="shared" si="12"/>
        <v>0</v>
      </c>
      <c r="S33" s="14">
        <f t="shared" si="12"/>
        <v>21880.619379999996</v>
      </c>
      <c r="T33" s="14">
        <f t="shared" si="12"/>
        <v>0</v>
      </c>
      <c r="U33" s="14">
        <f t="shared" si="12"/>
        <v>21880.619379999996</v>
      </c>
      <c r="V33" s="14">
        <f t="shared" si="12"/>
        <v>0</v>
      </c>
      <c r="W33" s="22">
        <f t="shared" si="3"/>
        <v>60.229071485590012</v>
      </c>
      <c r="X33" s="44"/>
      <c r="Y33" s="48">
        <f t="shared" si="4"/>
        <v>0</v>
      </c>
      <c r="Z33" s="48"/>
      <c r="AA33" s="45"/>
      <c r="AB33" s="45"/>
      <c r="AC33" s="45"/>
    </row>
    <row r="34" spans="1:29" ht="30" customHeight="1" x14ac:dyDescent="0.2">
      <c r="A34" s="128" t="s">
        <v>30</v>
      </c>
      <c r="B34" s="100" t="s">
        <v>114</v>
      </c>
      <c r="C34" s="31" t="s">
        <v>186</v>
      </c>
      <c r="D34" s="27"/>
      <c r="E34" s="31"/>
      <c r="F34" s="31" t="s">
        <v>56</v>
      </c>
      <c r="G34" s="67">
        <f>SUM(H34:J34)</f>
        <v>18000</v>
      </c>
      <c r="H34" s="7"/>
      <c r="I34" s="10">
        <v>18000</v>
      </c>
      <c r="J34" s="9"/>
      <c r="K34" s="7">
        <f t="shared" ref="K34:K39" si="13">SUM(L34:N34)</f>
        <v>27829</v>
      </c>
      <c r="L34" s="7"/>
      <c r="M34" s="10">
        <v>27829</v>
      </c>
      <c r="N34" s="7"/>
      <c r="O34" s="7">
        <f t="shared" si="11"/>
        <v>14677.32466</v>
      </c>
      <c r="P34" s="7">
        <f>T34</f>
        <v>0</v>
      </c>
      <c r="Q34" s="35">
        <f>14677324.66/1000</f>
        <v>14677.32466</v>
      </c>
      <c r="R34" s="7"/>
      <c r="S34" s="7">
        <f t="shared" ref="S34:S39" si="14">SUM(T34:V34)</f>
        <v>14677.32466</v>
      </c>
      <c r="T34" s="7"/>
      <c r="U34" s="7">
        <f>14677324.66/1000</f>
        <v>14677.32466</v>
      </c>
      <c r="V34" s="7"/>
      <c r="W34" s="22">
        <f t="shared" si="3"/>
        <v>52.741114161486223</v>
      </c>
      <c r="X34" s="44"/>
      <c r="Y34" s="48">
        <f t="shared" si="4"/>
        <v>0</v>
      </c>
      <c r="Z34" s="48"/>
      <c r="AA34" s="45"/>
      <c r="AB34" s="45"/>
      <c r="AC34" s="45"/>
    </row>
    <row r="35" spans="1:29" ht="30" customHeight="1" x14ac:dyDescent="0.2">
      <c r="A35" s="129"/>
      <c r="B35" s="101"/>
      <c r="C35" s="31" t="s">
        <v>186</v>
      </c>
      <c r="D35" s="27"/>
      <c r="E35" s="31"/>
      <c r="F35" s="31" t="s">
        <v>54</v>
      </c>
      <c r="G35" s="10">
        <f t="shared" ref="G35:G40" si="15">H35+I35+J35</f>
        <v>2500</v>
      </c>
      <c r="H35" s="7"/>
      <c r="I35" s="10">
        <v>2500</v>
      </c>
      <c r="J35" s="9"/>
      <c r="K35" s="7">
        <f t="shared" si="13"/>
        <v>2500</v>
      </c>
      <c r="L35" s="7"/>
      <c r="M35" s="10">
        <v>2500</v>
      </c>
      <c r="N35" s="7"/>
      <c r="O35" s="7">
        <f t="shared" si="11"/>
        <v>2181.1447000000003</v>
      </c>
      <c r="P35" s="7"/>
      <c r="Q35" s="35">
        <f>2181144.7/1000</f>
        <v>2181.1447000000003</v>
      </c>
      <c r="R35" s="7"/>
      <c r="S35" s="7">
        <f t="shared" si="14"/>
        <v>2181.1447000000003</v>
      </c>
      <c r="T35" s="7"/>
      <c r="U35" s="7">
        <f>2181144.7/1000</f>
        <v>2181.1447000000003</v>
      </c>
      <c r="V35" s="7"/>
      <c r="W35" s="22">
        <f t="shared" si="3"/>
        <v>87.245788000000019</v>
      </c>
      <c r="X35" s="44"/>
      <c r="Y35" s="48">
        <f t="shared" si="4"/>
        <v>0</v>
      </c>
      <c r="Z35" s="48"/>
      <c r="AA35" s="45"/>
      <c r="AB35" s="45"/>
      <c r="AC35" s="45"/>
    </row>
    <row r="36" spans="1:29" ht="52.5" customHeight="1" x14ac:dyDescent="0.2">
      <c r="A36" s="26" t="s">
        <v>82</v>
      </c>
      <c r="B36" s="28" t="s">
        <v>115</v>
      </c>
      <c r="C36" s="31" t="s">
        <v>297</v>
      </c>
      <c r="D36" s="31"/>
      <c r="E36" s="31"/>
      <c r="F36" s="31" t="s">
        <v>55</v>
      </c>
      <c r="G36" s="10">
        <f t="shared" si="15"/>
        <v>6000</v>
      </c>
      <c r="H36" s="7"/>
      <c r="I36" s="10">
        <v>6000</v>
      </c>
      <c r="J36" s="9"/>
      <c r="K36" s="7">
        <f t="shared" si="13"/>
        <v>6000</v>
      </c>
      <c r="L36" s="35"/>
      <c r="M36" s="10">
        <v>6000</v>
      </c>
      <c r="N36" s="7"/>
      <c r="O36" s="7">
        <f t="shared" si="11"/>
        <v>5022.1500199999991</v>
      </c>
      <c r="P36" s="7">
        <f>T36</f>
        <v>0</v>
      </c>
      <c r="Q36" s="35">
        <f>5022150.02/1000</f>
        <v>5022.1500199999991</v>
      </c>
      <c r="R36" s="7"/>
      <c r="S36" s="7">
        <f t="shared" si="14"/>
        <v>5022.1500199999991</v>
      </c>
      <c r="T36" s="7"/>
      <c r="U36" s="7">
        <f>5022150.02/1000</f>
        <v>5022.1500199999991</v>
      </c>
      <c r="V36" s="7"/>
      <c r="W36" s="22">
        <f t="shared" si="3"/>
        <v>83.702500333333319</v>
      </c>
      <c r="X36" s="44"/>
      <c r="Y36" s="48">
        <f t="shared" si="4"/>
        <v>0</v>
      </c>
      <c r="Z36" s="48"/>
      <c r="AA36" s="45"/>
      <c r="AB36" s="45"/>
      <c r="AC36" s="45"/>
    </row>
    <row r="37" spans="1:29" ht="43.5" customHeight="1" x14ac:dyDescent="0.2">
      <c r="A37" s="26" t="s">
        <v>245</v>
      </c>
      <c r="B37" s="28" t="s">
        <v>282</v>
      </c>
      <c r="C37" s="31" t="s">
        <v>246</v>
      </c>
      <c r="D37" s="31"/>
      <c r="E37" s="31"/>
      <c r="F37" s="31" t="s">
        <v>56</v>
      </c>
      <c r="G37" s="10">
        <f t="shared" si="15"/>
        <v>2000</v>
      </c>
      <c r="H37" s="7"/>
      <c r="I37" s="10">
        <v>2000</v>
      </c>
      <c r="J37" s="9"/>
      <c r="K37" s="7">
        <f t="shared" si="13"/>
        <v>0</v>
      </c>
      <c r="L37" s="35"/>
      <c r="M37" s="10">
        <v>0</v>
      </c>
      <c r="N37" s="7"/>
      <c r="O37" s="7">
        <f t="shared" si="11"/>
        <v>0</v>
      </c>
      <c r="P37" s="7"/>
      <c r="Q37" s="7">
        <v>0</v>
      </c>
      <c r="R37" s="7"/>
      <c r="S37" s="7">
        <f t="shared" si="14"/>
        <v>0</v>
      </c>
      <c r="T37" s="7"/>
      <c r="U37" s="7">
        <v>0</v>
      </c>
      <c r="V37" s="7"/>
      <c r="W37" s="22" t="e">
        <f t="shared" si="3"/>
        <v>#DIV/0!</v>
      </c>
      <c r="X37" s="44"/>
      <c r="Y37" s="48">
        <f t="shared" si="4"/>
        <v>0</v>
      </c>
      <c r="Z37" s="48"/>
      <c r="AA37" s="45"/>
      <c r="AB37" s="45"/>
      <c r="AC37" s="45"/>
    </row>
    <row r="38" spans="1:29" ht="37.5" hidden="1" customHeight="1" x14ac:dyDescent="0.2">
      <c r="A38" s="26"/>
      <c r="B38" s="27"/>
      <c r="C38" s="31"/>
      <c r="D38" s="31"/>
      <c r="E38" s="31"/>
      <c r="F38" s="31"/>
      <c r="G38" s="10">
        <f t="shared" si="15"/>
        <v>0</v>
      </c>
      <c r="H38" s="7"/>
      <c r="I38" s="10"/>
      <c r="J38" s="9"/>
      <c r="K38" s="7">
        <f t="shared" si="13"/>
        <v>0</v>
      </c>
      <c r="L38" s="7"/>
      <c r="M38" s="10"/>
      <c r="N38" s="7"/>
      <c r="O38" s="7">
        <f t="shared" si="11"/>
        <v>0</v>
      </c>
      <c r="P38" s="7"/>
      <c r="Q38" s="35"/>
      <c r="R38" s="7"/>
      <c r="S38" s="7">
        <f t="shared" si="14"/>
        <v>0</v>
      </c>
      <c r="T38" s="7"/>
      <c r="U38" s="35"/>
      <c r="V38" s="7"/>
      <c r="W38" s="22" t="e">
        <f t="shared" si="3"/>
        <v>#DIV/0!</v>
      </c>
      <c r="X38" s="44"/>
      <c r="Y38" s="48">
        <f t="shared" si="4"/>
        <v>0</v>
      </c>
      <c r="Z38" s="48"/>
      <c r="AA38" s="45"/>
      <c r="AB38" s="45"/>
      <c r="AC38" s="45"/>
    </row>
    <row r="39" spans="1:29" ht="32.25" hidden="1" customHeight="1" x14ac:dyDescent="0.2">
      <c r="A39" s="26"/>
      <c r="B39" s="27"/>
      <c r="C39" s="31"/>
      <c r="D39" s="31"/>
      <c r="E39" s="31"/>
      <c r="F39" s="31"/>
      <c r="G39" s="10">
        <f t="shared" si="15"/>
        <v>0</v>
      </c>
      <c r="H39" s="7"/>
      <c r="I39" s="10"/>
      <c r="J39" s="9"/>
      <c r="K39" s="7">
        <f t="shared" si="13"/>
        <v>0</v>
      </c>
      <c r="L39" s="35"/>
      <c r="M39" s="10"/>
      <c r="N39" s="7"/>
      <c r="O39" s="7">
        <f t="shared" si="11"/>
        <v>0</v>
      </c>
      <c r="P39" s="7"/>
      <c r="Q39" s="35"/>
      <c r="R39" s="7"/>
      <c r="S39" s="7">
        <f t="shared" si="14"/>
        <v>0</v>
      </c>
      <c r="T39" s="7"/>
      <c r="U39" s="35"/>
      <c r="V39" s="7"/>
      <c r="W39" s="22" t="e">
        <f t="shared" si="3"/>
        <v>#DIV/0!</v>
      </c>
      <c r="X39" s="44"/>
      <c r="Y39" s="48">
        <f t="shared" si="4"/>
        <v>0</v>
      </c>
      <c r="Z39" s="48"/>
      <c r="AA39" s="45"/>
      <c r="AB39" s="45"/>
      <c r="AC39" s="45"/>
    </row>
    <row r="40" spans="1:29" ht="40.5" customHeight="1" x14ac:dyDescent="0.2">
      <c r="A40" s="24" t="s">
        <v>11</v>
      </c>
      <c r="B40" s="25" t="s">
        <v>116</v>
      </c>
      <c r="C40" s="32"/>
      <c r="D40" s="32"/>
      <c r="E40" s="32"/>
      <c r="F40" s="32"/>
      <c r="G40" s="14">
        <f t="shared" si="15"/>
        <v>6000</v>
      </c>
      <c r="H40" s="6">
        <f>SUM(H41:H42)</f>
        <v>0</v>
      </c>
      <c r="I40" s="6">
        <f>SUM(I41:I42)</f>
        <v>6000</v>
      </c>
      <c r="J40" s="6">
        <f>SUM(J41:J42)</f>
        <v>0</v>
      </c>
      <c r="K40" s="6">
        <f>L40+M40+N40</f>
        <v>2237</v>
      </c>
      <c r="L40" s="6">
        <f>SUM(L41:L42)</f>
        <v>0</v>
      </c>
      <c r="M40" s="6">
        <f>SUM(M41:M42)</f>
        <v>2237</v>
      </c>
      <c r="N40" s="6">
        <f>SUM(N41:N42)</f>
        <v>0</v>
      </c>
      <c r="O40" s="6">
        <f>P40+Q40+R40</f>
        <v>157.1044</v>
      </c>
      <c r="P40" s="6">
        <f t="shared" ref="P40:V40" si="16">SUM(P41:P42)</f>
        <v>0</v>
      </c>
      <c r="Q40" s="6">
        <f t="shared" si="16"/>
        <v>157.1044</v>
      </c>
      <c r="R40" s="6">
        <f t="shared" si="16"/>
        <v>0</v>
      </c>
      <c r="S40" s="6">
        <f t="shared" si="16"/>
        <v>157.1044</v>
      </c>
      <c r="T40" s="6">
        <f t="shared" si="16"/>
        <v>0</v>
      </c>
      <c r="U40" s="6">
        <f t="shared" si="16"/>
        <v>157.1044</v>
      </c>
      <c r="V40" s="6">
        <f t="shared" si="16"/>
        <v>0</v>
      </c>
      <c r="W40" s="22">
        <f t="shared" si="3"/>
        <v>7.0229950827000449</v>
      </c>
      <c r="X40" s="44"/>
      <c r="Y40" s="48">
        <f t="shared" si="4"/>
        <v>0</v>
      </c>
      <c r="Z40" s="48"/>
      <c r="AA40" s="45"/>
      <c r="AB40" s="45"/>
      <c r="AC40" s="45"/>
    </row>
    <row r="41" spans="1:29" ht="60.75" customHeight="1" x14ac:dyDescent="0.2">
      <c r="A41" s="26" t="s">
        <v>31</v>
      </c>
      <c r="B41" s="28" t="s">
        <v>117</v>
      </c>
      <c r="C41" s="31" t="s">
        <v>298</v>
      </c>
      <c r="D41" s="31"/>
      <c r="E41" s="31"/>
      <c r="F41" s="31" t="s">
        <v>56</v>
      </c>
      <c r="G41" s="10">
        <f t="shared" ref="G41:G48" si="17">H41+I41+J41</f>
        <v>6000</v>
      </c>
      <c r="H41" s="7"/>
      <c r="I41" s="10">
        <v>6000</v>
      </c>
      <c r="J41" s="7">
        <v>0</v>
      </c>
      <c r="K41" s="7">
        <f>SUM(L41:N41)</f>
        <v>2237</v>
      </c>
      <c r="L41" s="7"/>
      <c r="M41" s="7">
        <v>2237</v>
      </c>
      <c r="N41" s="7"/>
      <c r="O41" s="7">
        <f>SUM(P41:R41)</f>
        <v>157.1044</v>
      </c>
      <c r="P41" s="9">
        <f>T41</f>
        <v>0</v>
      </c>
      <c r="Q41" s="35">
        <f>157104.4/1000</f>
        <v>157.1044</v>
      </c>
      <c r="R41" s="7"/>
      <c r="S41" s="7">
        <f>SUM(T41:V41)</f>
        <v>157.1044</v>
      </c>
      <c r="T41" s="7"/>
      <c r="U41" s="7">
        <f>157104.4/1000</f>
        <v>157.1044</v>
      </c>
      <c r="V41" s="7"/>
      <c r="W41" s="22">
        <f t="shared" si="3"/>
        <v>7.0229950827000449</v>
      </c>
      <c r="X41" s="44"/>
      <c r="Y41" s="48">
        <f t="shared" si="4"/>
        <v>0</v>
      </c>
      <c r="Z41" s="48"/>
      <c r="AA41" s="45"/>
      <c r="AB41" s="45"/>
      <c r="AC41" s="45"/>
    </row>
    <row r="42" spans="1:29" ht="69" hidden="1" customHeight="1" x14ac:dyDescent="0.2">
      <c r="A42" s="26"/>
      <c r="B42" s="27"/>
      <c r="C42" s="31"/>
      <c r="D42" s="31"/>
      <c r="E42" s="31"/>
      <c r="F42" s="31"/>
      <c r="G42" s="10">
        <f t="shared" si="17"/>
        <v>0</v>
      </c>
      <c r="H42" s="7"/>
      <c r="I42" s="10"/>
      <c r="J42" s="7"/>
      <c r="K42" s="7">
        <f>SUM(L42:N42)</f>
        <v>0</v>
      </c>
      <c r="L42" s="35"/>
      <c r="M42" s="10"/>
      <c r="N42" s="7"/>
      <c r="O42" s="7">
        <f>SUM(P42:R42)</f>
        <v>0</v>
      </c>
      <c r="P42" s="7"/>
      <c r="Q42" s="7"/>
      <c r="R42" s="7"/>
      <c r="S42" s="7">
        <f>SUM(T42:V42)</f>
        <v>0</v>
      </c>
      <c r="T42" s="7"/>
      <c r="U42" s="7"/>
      <c r="V42" s="7"/>
      <c r="W42" s="22" t="e">
        <f t="shared" si="3"/>
        <v>#DIV/0!</v>
      </c>
      <c r="X42" s="44"/>
      <c r="Y42" s="48">
        <f t="shared" si="4"/>
        <v>0</v>
      </c>
      <c r="Z42" s="48"/>
      <c r="AA42" s="45"/>
      <c r="AB42" s="45"/>
      <c r="AC42" s="45"/>
    </row>
    <row r="43" spans="1:29" ht="56.25" customHeight="1" x14ac:dyDescent="0.2">
      <c r="A43" s="24" t="s">
        <v>12</v>
      </c>
      <c r="B43" s="25" t="s">
        <v>118</v>
      </c>
      <c r="C43" s="32"/>
      <c r="D43" s="32"/>
      <c r="E43" s="32"/>
      <c r="F43" s="32"/>
      <c r="G43" s="14">
        <f t="shared" si="17"/>
        <v>27041.200000000001</v>
      </c>
      <c r="H43" s="6">
        <f>H44</f>
        <v>0</v>
      </c>
      <c r="I43" s="6">
        <f>I44</f>
        <v>27041.200000000001</v>
      </c>
      <c r="J43" s="6">
        <f>J44</f>
        <v>0</v>
      </c>
      <c r="K43" s="6">
        <f>L43+M43+N43</f>
        <v>27041.200000000001</v>
      </c>
      <c r="L43" s="6">
        <f>L44</f>
        <v>0</v>
      </c>
      <c r="M43" s="6">
        <f>M44</f>
        <v>27041.200000000001</v>
      </c>
      <c r="N43" s="6">
        <f>N44</f>
        <v>0</v>
      </c>
      <c r="O43" s="6">
        <f>P43+Q43+R43</f>
        <v>19140.605359999998</v>
      </c>
      <c r="P43" s="6">
        <f t="shared" ref="P43:V43" si="18">P44</f>
        <v>0</v>
      </c>
      <c r="Q43" s="6">
        <f t="shared" si="18"/>
        <v>19140.605359999998</v>
      </c>
      <c r="R43" s="6">
        <f t="shared" si="18"/>
        <v>0</v>
      </c>
      <c r="S43" s="6">
        <f t="shared" si="18"/>
        <v>19140.605359999998</v>
      </c>
      <c r="T43" s="6">
        <f t="shared" si="18"/>
        <v>0</v>
      </c>
      <c r="U43" s="6">
        <f t="shared" si="18"/>
        <v>19140.605359999998</v>
      </c>
      <c r="V43" s="6">
        <f t="shared" si="18"/>
        <v>0</v>
      </c>
      <c r="W43" s="22">
        <f t="shared" si="3"/>
        <v>70.783121163261981</v>
      </c>
      <c r="X43" s="44"/>
      <c r="Y43" s="72">
        <f t="shared" si="4"/>
        <v>0</v>
      </c>
      <c r="Z43" s="73"/>
      <c r="AA43" s="71"/>
      <c r="AB43" s="45"/>
      <c r="AC43" s="45"/>
    </row>
    <row r="44" spans="1:29" ht="130.5" customHeight="1" x14ac:dyDescent="0.2">
      <c r="A44" s="26" t="s">
        <v>41</v>
      </c>
      <c r="B44" s="28" t="s">
        <v>299</v>
      </c>
      <c r="C44" s="31" t="s">
        <v>187</v>
      </c>
      <c r="D44" s="31"/>
      <c r="E44" s="31"/>
      <c r="F44" s="31" t="s">
        <v>52</v>
      </c>
      <c r="G44" s="10">
        <f t="shared" si="17"/>
        <v>27041.200000000001</v>
      </c>
      <c r="H44" s="7"/>
      <c r="I44" s="7">
        <v>27041.200000000001</v>
      </c>
      <c r="J44" s="7"/>
      <c r="K44" s="7">
        <f>SUM(L44:N44)</f>
        <v>27041.200000000001</v>
      </c>
      <c r="L44" s="7"/>
      <c r="M44" s="7">
        <v>27041.200000000001</v>
      </c>
      <c r="N44" s="7"/>
      <c r="O44" s="7">
        <f>SUM(P44:R44)</f>
        <v>19140.605359999998</v>
      </c>
      <c r="P44" s="7"/>
      <c r="Q44" s="35">
        <f>19140605.36/1000</f>
        <v>19140.605359999998</v>
      </c>
      <c r="R44" s="7"/>
      <c r="S44" s="7">
        <f>SUM(T44:V44)</f>
        <v>19140.605359999998</v>
      </c>
      <c r="T44" s="7"/>
      <c r="U44" s="7">
        <f>19140605.36/1000</f>
        <v>19140.605359999998</v>
      </c>
      <c r="V44" s="7"/>
      <c r="W44" s="22">
        <f t="shared" si="3"/>
        <v>70.783121163261981</v>
      </c>
      <c r="X44" s="44"/>
      <c r="Y44" s="72">
        <f t="shared" si="4"/>
        <v>0</v>
      </c>
      <c r="Z44" s="72"/>
      <c r="AA44" s="71"/>
      <c r="AB44" s="45"/>
      <c r="AC44" s="45"/>
    </row>
    <row r="45" spans="1:29" ht="42.75" customHeight="1" x14ac:dyDescent="0.2">
      <c r="A45" s="24" t="s">
        <v>14</v>
      </c>
      <c r="B45" s="25" t="s">
        <v>13</v>
      </c>
      <c r="C45" s="32"/>
      <c r="D45" s="32"/>
      <c r="E45" s="32"/>
      <c r="F45" s="32"/>
      <c r="G45" s="14">
        <f t="shared" si="17"/>
        <v>7760</v>
      </c>
      <c r="H45" s="6">
        <f>SUM(H46:H48)</f>
        <v>0</v>
      </c>
      <c r="I45" s="6">
        <f>SUM(I46:I48)</f>
        <v>7760</v>
      </c>
      <c r="J45" s="6">
        <f>SUM(J46:J48)</f>
        <v>0</v>
      </c>
      <c r="K45" s="6">
        <f>L45+M45+N45</f>
        <v>5760</v>
      </c>
      <c r="L45" s="6">
        <f>SUM(L46:L48)</f>
        <v>0</v>
      </c>
      <c r="M45" s="6">
        <f>SUM(M46:M48)</f>
        <v>5760</v>
      </c>
      <c r="N45" s="6">
        <f>SUM(N46:N48)</f>
        <v>0</v>
      </c>
      <c r="O45" s="6">
        <f>P45+Q45+R45</f>
        <v>1519.4866399999999</v>
      </c>
      <c r="P45" s="6">
        <f>SUM(P46:P48)</f>
        <v>0</v>
      </c>
      <c r="Q45" s="6">
        <f>SUM(Q46:Q48)</f>
        <v>1519.4866399999999</v>
      </c>
      <c r="R45" s="6">
        <f>SUM(R46:R48)</f>
        <v>0</v>
      </c>
      <c r="S45" s="6">
        <f>T45+U45+V45</f>
        <v>1519.4866399999999</v>
      </c>
      <c r="T45" s="6">
        <f>SUM(T46:T48)</f>
        <v>0</v>
      </c>
      <c r="U45" s="6">
        <f>SUM(U46:U48)</f>
        <v>1519.4866399999999</v>
      </c>
      <c r="V45" s="6">
        <f>SUM(V46:V48)</f>
        <v>0</v>
      </c>
      <c r="W45" s="22">
        <f t="shared" si="3"/>
        <v>26.379976388888888</v>
      </c>
      <c r="X45" s="44"/>
      <c r="Y45" s="48">
        <f t="shared" si="4"/>
        <v>0</v>
      </c>
      <c r="Z45" s="48"/>
      <c r="AA45" s="45"/>
      <c r="AB45" s="45"/>
      <c r="AC45" s="45"/>
    </row>
    <row r="46" spans="1:29" ht="69.75" customHeight="1" x14ac:dyDescent="0.2">
      <c r="A46" s="43" t="s">
        <v>42</v>
      </c>
      <c r="B46" s="88" t="s">
        <v>83</v>
      </c>
      <c r="C46" s="31" t="s">
        <v>188</v>
      </c>
      <c r="D46" s="31"/>
      <c r="E46" s="31"/>
      <c r="F46" s="31" t="s">
        <v>176</v>
      </c>
      <c r="G46" s="10">
        <f t="shared" si="17"/>
        <v>300</v>
      </c>
      <c r="H46" s="7">
        <v>0</v>
      </c>
      <c r="I46" s="10">
        <v>300</v>
      </c>
      <c r="J46" s="7">
        <v>0</v>
      </c>
      <c r="K46" s="7">
        <f>SUM(L46:N46)</f>
        <v>300</v>
      </c>
      <c r="L46" s="7"/>
      <c r="M46" s="10">
        <v>300</v>
      </c>
      <c r="N46" s="7"/>
      <c r="O46" s="7">
        <f>SUM(P46:R46)</f>
        <v>0</v>
      </c>
      <c r="P46" s="7"/>
      <c r="Q46" s="35">
        <v>0</v>
      </c>
      <c r="R46" s="7"/>
      <c r="S46" s="7">
        <f>SUM(T46:V46)</f>
        <v>0</v>
      </c>
      <c r="T46" s="7"/>
      <c r="U46" s="7">
        <v>0</v>
      </c>
      <c r="V46" s="7"/>
      <c r="W46" s="22">
        <f t="shared" si="3"/>
        <v>0</v>
      </c>
      <c r="X46" s="44"/>
      <c r="Y46" s="48">
        <f t="shared" si="4"/>
        <v>0</v>
      </c>
      <c r="Z46" s="48"/>
      <c r="AA46" s="45"/>
      <c r="AB46" s="45"/>
      <c r="AC46" s="45"/>
    </row>
    <row r="47" spans="1:29" ht="54" customHeight="1" x14ac:dyDescent="0.2">
      <c r="A47" s="26" t="s">
        <v>43</v>
      </c>
      <c r="B47" s="28" t="s">
        <v>86</v>
      </c>
      <c r="C47" s="31" t="s">
        <v>189</v>
      </c>
      <c r="D47" s="31"/>
      <c r="E47" s="31"/>
      <c r="F47" s="31" t="s">
        <v>54</v>
      </c>
      <c r="G47" s="10">
        <f t="shared" si="17"/>
        <v>700</v>
      </c>
      <c r="H47" s="7">
        <v>0</v>
      </c>
      <c r="I47" s="10">
        <v>700</v>
      </c>
      <c r="J47" s="7">
        <v>0</v>
      </c>
      <c r="K47" s="7">
        <f>SUM(L47:N47)</f>
        <v>700</v>
      </c>
      <c r="L47" s="7"/>
      <c r="M47" s="7">
        <v>700</v>
      </c>
      <c r="N47" s="7"/>
      <c r="O47" s="7">
        <f>SUM(P47:R47)</f>
        <v>0</v>
      </c>
      <c r="P47" s="7"/>
      <c r="Q47" s="7">
        <v>0</v>
      </c>
      <c r="R47" s="7"/>
      <c r="S47" s="7">
        <f>SUM(T47:V47)</f>
        <v>0</v>
      </c>
      <c r="T47" s="7"/>
      <c r="U47" s="7">
        <v>0</v>
      </c>
      <c r="V47" s="7"/>
      <c r="W47" s="22">
        <f t="shared" si="3"/>
        <v>0</v>
      </c>
      <c r="X47" s="44"/>
      <c r="Y47" s="48">
        <f t="shared" si="4"/>
        <v>0</v>
      </c>
      <c r="Z47" s="48"/>
      <c r="AA47" s="45"/>
      <c r="AB47" s="45"/>
      <c r="AC47" s="45"/>
    </row>
    <row r="48" spans="1:29" ht="54" customHeight="1" x14ac:dyDescent="0.2">
      <c r="A48" s="26" t="s">
        <v>84</v>
      </c>
      <c r="B48" s="28" t="s">
        <v>85</v>
      </c>
      <c r="C48" s="31" t="s">
        <v>190</v>
      </c>
      <c r="D48" s="31"/>
      <c r="E48" s="31"/>
      <c r="F48" s="31" t="s">
        <v>54</v>
      </c>
      <c r="G48" s="10">
        <f t="shared" si="17"/>
        <v>6760</v>
      </c>
      <c r="H48" s="7"/>
      <c r="I48" s="10">
        <v>6760</v>
      </c>
      <c r="J48" s="7"/>
      <c r="K48" s="7">
        <f>SUM(L48:N48)</f>
        <v>4760</v>
      </c>
      <c r="L48" s="7"/>
      <c r="M48" s="7">
        <v>4760</v>
      </c>
      <c r="N48" s="7"/>
      <c r="O48" s="7">
        <f>SUM(P48:R48)</f>
        <v>1519.4866399999999</v>
      </c>
      <c r="P48" s="7"/>
      <c r="Q48" s="35">
        <f>1519486.64/1000</f>
        <v>1519.4866399999999</v>
      </c>
      <c r="R48" s="7"/>
      <c r="S48" s="7">
        <f>SUM(T48:V48)</f>
        <v>1519.4866399999999</v>
      </c>
      <c r="T48" s="7"/>
      <c r="U48" s="7">
        <f>1519486.64/1000</f>
        <v>1519.4866399999999</v>
      </c>
      <c r="V48" s="7"/>
      <c r="W48" s="22">
        <f t="shared" si="3"/>
        <v>31.921988235294116</v>
      </c>
      <c r="X48" s="44"/>
      <c r="Y48" s="48">
        <f t="shared" si="4"/>
        <v>0</v>
      </c>
      <c r="Z48" s="48"/>
      <c r="AA48" s="45"/>
      <c r="AB48" s="45"/>
      <c r="AC48" s="45"/>
    </row>
    <row r="49" spans="1:29" ht="39" customHeight="1" x14ac:dyDescent="0.2">
      <c r="A49" s="24" t="s">
        <v>15</v>
      </c>
      <c r="B49" s="25" t="s">
        <v>120</v>
      </c>
      <c r="C49" s="32"/>
      <c r="D49" s="32"/>
      <c r="E49" s="32"/>
      <c r="F49" s="32"/>
      <c r="G49" s="14">
        <f>H49+I49+J49</f>
        <v>100</v>
      </c>
      <c r="H49" s="6">
        <f>SUM(H50:H51)</f>
        <v>0</v>
      </c>
      <c r="I49" s="6">
        <f>SUM(I50:I51)</f>
        <v>100</v>
      </c>
      <c r="J49" s="6">
        <f>SUM(J50:J51)</f>
        <v>0</v>
      </c>
      <c r="K49" s="6">
        <f>L49+M49+N49</f>
        <v>100</v>
      </c>
      <c r="L49" s="6">
        <f t="shared" ref="L49:V49" si="19">SUM(L50:L51)</f>
        <v>0</v>
      </c>
      <c r="M49" s="6">
        <f t="shared" si="19"/>
        <v>100</v>
      </c>
      <c r="N49" s="6">
        <f t="shared" si="19"/>
        <v>0</v>
      </c>
      <c r="O49" s="6">
        <f>P49+Q49+R49</f>
        <v>0</v>
      </c>
      <c r="P49" s="6">
        <f t="shared" si="19"/>
        <v>0</v>
      </c>
      <c r="Q49" s="6">
        <f t="shared" si="19"/>
        <v>0</v>
      </c>
      <c r="R49" s="6">
        <f t="shared" si="19"/>
        <v>0</v>
      </c>
      <c r="S49" s="6">
        <f>T49+U49+V49</f>
        <v>0</v>
      </c>
      <c r="T49" s="6">
        <f t="shared" si="19"/>
        <v>0</v>
      </c>
      <c r="U49" s="6">
        <f t="shared" si="19"/>
        <v>0</v>
      </c>
      <c r="V49" s="6">
        <f t="shared" si="19"/>
        <v>0</v>
      </c>
      <c r="W49" s="22">
        <f t="shared" si="3"/>
        <v>0</v>
      </c>
      <c r="X49" s="44"/>
      <c r="Y49" s="48">
        <f t="shared" si="4"/>
        <v>0</v>
      </c>
      <c r="Z49" s="48"/>
      <c r="AA49" s="45"/>
      <c r="AB49" s="45"/>
      <c r="AC49" s="45"/>
    </row>
    <row r="50" spans="1:29" ht="35.25" customHeight="1" x14ac:dyDescent="0.2">
      <c r="A50" s="128" t="s">
        <v>28</v>
      </c>
      <c r="B50" s="100" t="s">
        <v>119</v>
      </c>
      <c r="C50" s="31" t="s">
        <v>191</v>
      </c>
      <c r="D50" s="31"/>
      <c r="E50" s="31"/>
      <c r="F50" s="31" t="s">
        <v>56</v>
      </c>
      <c r="G50" s="10">
        <f t="shared" ref="G50:G55" si="20">H50+I50+J50</f>
        <v>100</v>
      </c>
      <c r="H50" s="7">
        <v>0</v>
      </c>
      <c r="I50" s="7">
        <v>100</v>
      </c>
      <c r="J50" s="7">
        <v>0</v>
      </c>
      <c r="K50" s="7">
        <f>SUM(L50:N50)</f>
        <v>100</v>
      </c>
      <c r="L50" s="7"/>
      <c r="M50" s="7">
        <v>100</v>
      </c>
      <c r="N50" s="7"/>
      <c r="O50" s="7">
        <f>SUM(P50:R50)</f>
        <v>0</v>
      </c>
      <c r="P50" s="7"/>
      <c r="Q50" s="7">
        <v>0</v>
      </c>
      <c r="R50" s="7"/>
      <c r="S50" s="7">
        <f>SUM(T50:V50)</f>
        <v>0</v>
      </c>
      <c r="T50" s="7"/>
      <c r="U50" s="7">
        <v>0</v>
      </c>
      <c r="V50" s="7"/>
      <c r="W50" s="22">
        <f t="shared" si="3"/>
        <v>0</v>
      </c>
      <c r="X50" s="44"/>
      <c r="Y50" s="48">
        <f t="shared" si="4"/>
        <v>0</v>
      </c>
      <c r="Z50" s="48"/>
      <c r="AA50" s="45"/>
      <c r="AB50" s="45"/>
      <c r="AC50" s="45"/>
    </row>
    <row r="51" spans="1:29" ht="19.5" customHeight="1" x14ac:dyDescent="0.2">
      <c r="A51" s="129"/>
      <c r="B51" s="101"/>
      <c r="C51" s="31" t="s">
        <v>191</v>
      </c>
      <c r="D51" s="31"/>
      <c r="E51" s="31"/>
      <c r="F51" s="31" t="s">
        <v>63</v>
      </c>
      <c r="G51" s="10">
        <f t="shared" si="20"/>
        <v>0</v>
      </c>
      <c r="H51" s="7"/>
      <c r="I51" s="7"/>
      <c r="J51" s="7"/>
      <c r="K51" s="7">
        <f>SUM(L51:N51)</f>
        <v>0</v>
      </c>
      <c r="L51" s="7"/>
      <c r="M51" s="7"/>
      <c r="N51" s="7"/>
      <c r="O51" s="7">
        <f>SUM(P51:R51)</f>
        <v>0</v>
      </c>
      <c r="P51" s="7"/>
      <c r="Q51" s="7">
        <f>U51</f>
        <v>0</v>
      </c>
      <c r="R51" s="7"/>
      <c r="S51" s="7">
        <f>SUM(T51:V51)</f>
        <v>0</v>
      </c>
      <c r="T51" s="7"/>
      <c r="U51" s="7">
        <v>0</v>
      </c>
      <c r="V51" s="7"/>
      <c r="W51" s="22" t="e">
        <f t="shared" si="3"/>
        <v>#DIV/0!</v>
      </c>
      <c r="X51" s="44"/>
      <c r="Y51" s="48">
        <f t="shared" si="4"/>
        <v>0</v>
      </c>
      <c r="Z51" s="48"/>
      <c r="AA51" s="45"/>
      <c r="AB51" s="45"/>
      <c r="AC51" s="45"/>
    </row>
    <row r="52" spans="1:29" ht="45.75" customHeight="1" x14ac:dyDescent="0.2">
      <c r="A52" s="24" t="s">
        <v>59</v>
      </c>
      <c r="B52" s="25" t="s">
        <v>58</v>
      </c>
      <c r="C52" s="32"/>
      <c r="D52" s="32"/>
      <c r="E52" s="32"/>
      <c r="F52" s="32"/>
      <c r="G52" s="14">
        <f t="shared" si="20"/>
        <v>96190</v>
      </c>
      <c r="H52" s="6">
        <f>SUM(H53:H55)</f>
        <v>0</v>
      </c>
      <c r="I52" s="6">
        <f>SUM(I53:I55)</f>
        <v>96190</v>
      </c>
      <c r="J52" s="6">
        <f>SUM(J53:J55)</f>
        <v>0</v>
      </c>
      <c r="K52" s="6">
        <f t="shared" ref="K52:K58" si="21">L52+M52+N52</f>
        <v>96190</v>
      </c>
      <c r="L52" s="6">
        <f>SUM(L53:L55)</f>
        <v>0</v>
      </c>
      <c r="M52" s="6">
        <f>SUM(M53:M55)</f>
        <v>96190</v>
      </c>
      <c r="N52" s="6">
        <f>SUM(N53:N55)</f>
        <v>0</v>
      </c>
      <c r="O52" s="6">
        <f>P52+Q52+R52</f>
        <v>93690</v>
      </c>
      <c r="P52" s="6">
        <f>SUM(P53:P55)</f>
        <v>0</v>
      </c>
      <c r="Q52" s="6">
        <f>SUM(Q53:Q55)</f>
        <v>93690</v>
      </c>
      <c r="R52" s="6">
        <f>SUM(R53:R55)</f>
        <v>0</v>
      </c>
      <c r="S52" s="6">
        <f>T52+U52+V52</f>
        <v>93690</v>
      </c>
      <c r="T52" s="6">
        <f>SUM(T53:T55)</f>
        <v>0</v>
      </c>
      <c r="U52" s="6">
        <f>SUM(U53:U55)</f>
        <v>93690</v>
      </c>
      <c r="V52" s="6">
        <f>SUM(V53:V55)</f>
        <v>0</v>
      </c>
      <c r="W52" s="22">
        <f t="shared" si="3"/>
        <v>97.400977232560564</v>
      </c>
      <c r="X52" s="44"/>
      <c r="Y52" s="72">
        <f t="shared" si="4"/>
        <v>0</v>
      </c>
      <c r="Z52" s="48"/>
      <c r="AA52" s="45"/>
      <c r="AB52" s="45"/>
      <c r="AC52" s="45"/>
    </row>
    <row r="53" spans="1:29" ht="55.5" customHeight="1" x14ac:dyDescent="0.2">
      <c r="A53" s="26" t="s">
        <v>60</v>
      </c>
      <c r="B53" s="28" t="s">
        <v>87</v>
      </c>
      <c r="C53" s="31" t="s">
        <v>192</v>
      </c>
      <c r="D53" s="31"/>
      <c r="E53" s="31"/>
      <c r="F53" s="31" t="s">
        <v>55</v>
      </c>
      <c r="G53" s="10">
        <f t="shared" si="20"/>
        <v>39690</v>
      </c>
      <c r="H53" s="7">
        <v>0</v>
      </c>
      <c r="I53" s="10">
        <v>39690</v>
      </c>
      <c r="J53" s="7">
        <v>0</v>
      </c>
      <c r="K53" s="7">
        <f t="shared" si="21"/>
        <v>39690</v>
      </c>
      <c r="L53" s="7"/>
      <c r="M53" s="7">
        <v>39690</v>
      </c>
      <c r="N53" s="7"/>
      <c r="O53" s="7">
        <f>P53+Q53+R53</f>
        <v>39690</v>
      </c>
      <c r="P53" s="7"/>
      <c r="Q53" s="35">
        <f>39690000/1000</f>
        <v>39690</v>
      </c>
      <c r="R53" s="7"/>
      <c r="S53" s="7">
        <f>T53+U53+V53</f>
        <v>39690</v>
      </c>
      <c r="T53" s="7"/>
      <c r="U53" s="35">
        <f>39690000/1000</f>
        <v>39690</v>
      </c>
      <c r="V53" s="7"/>
      <c r="W53" s="22">
        <f t="shared" si="3"/>
        <v>100</v>
      </c>
      <c r="X53" s="44"/>
      <c r="Y53" s="48">
        <f t="shared" si="4"/>
        <v>0</v>
      </c>
      <c r="Z53" s="48"/>
      <c r="AA53" s="45"/>
      <c r="AB53" s="45"/>
      <c r="AC53" s="58"/>
    </row>
    <row r="54" spans="1:29" ht="54.75" customHeight="1" x14ac:dyDescent="0.2">
      <c r="A54" s="26" t="s">
        <v>61</v>
      </c>
      <c r="B54" s="28" t="s">
        <v>121</v>
      </c>
      <c r="C54" s="31" t="s">
        <v>193</v>
      </c>
      <c r="D54" s="31"/>
      <c r="E54" s="31"/>
      <c r="F54" s="31" t="s">
        <v>247</v>
      </c>
      <c r="G54" s="10">
        <f t="shared" si="20"/>
        <v>2500</v>
      </c>
      <c r="H54" s="7">
        <v>0</v>
      </c>
      <c r="I54" s="10">
        <v>2500</v>
      </c>
      <c r="J54" s="7">
        <v>0</v>
      </c>
      <c r="K54" s="7">
        <f t="shared" si="21"/>
        <v>2500</v>
      </c>
      <c r="L54" s="7"/>
      <c r="M54" s="7">
        <v>2500</v>
      </c>
      <c r="N54" s="7"/>
      <c r="O54" s="7">
        <f>P54+Q54+R54</f>
        <v>0</v>
      </c>
      <c r="P54" s="7"/>
      <c r="Q54" s="7">
        <v>0</v>
      </c>
      <c r="R54" s="7"/>
      <c r="S54" s="7">
        <f>T54+U54+V54</f>
        <v>0</v>
      </c>
      <c r="T54" s="7"/>
      <c r="U54" s="35">
        <v>0</v>
      </c>
      <c r="V54" s="7"/>
      <c r="W54" s="22">
        <f t="shared" si="3"/>
        <v>0</v>
      </c>
      <c r="X54" s="44"/>
      <c r="Y54" s="72">
        <f t="shared" si="4"/>
        <v>0</v>
      </c>
      <c r="Z54" s="72"/>
      <c r="AA54" s="45"/>
      <c r="AB54" s="45"/>
      <c r="AC54" s="45"/>
    </row>
    <row r="55" spans="1:29" ht="41.25" customHeight="1" x14ac:dyDescent="0.2">
      <c r="A55" s="26" t="s">
        <v>62</v>
      </c>
      <c r="B55" s="28" t="s">
        <v>122</v>
      </c>
      <c r="C55" s="31" t="s">
        <v>194</v>
      </c>
      <c r="D55" s="31"/>
      <c r="E55" s="31"/>
      <c r="F55" s="31" t="s">
        <v>247</v>
      </c>
      <c r="G55" s="10">
        <f t="shared" si="20"/>
        <v>54000</v>
      </c>
      <c r="H55" s="7"/>
      <c r="I55" s="10">
        <v>54000</v>
      </c>
      <c r="J55" s="7">
        <v>0</v>
      </c>
      <c r="K55" s="7">
        <f t="shared" si="21"/>
        <v>54000</v>
      </c>
      <c r="L55" s="7"/>
      <c r="M55" s="7">
        <v>54000</v>
      </c>
      <c r="N55" s="7"/>
      <c r="O55" s="7">
        <f>P55+Q55+R55</f>
        <v>54000</v>
      </c>
      <c r="P55" s="7">
        <f>T55</f>
        <v>0</v>
      </c>
      <c r="Q55" s="35">
        <f>54000000/1000</f>
        <v>54000</v>
      </c>
      <c r="R55" s="7"/>
      <c r="S55" s="7">
        <f>T55+U55+V55</f>
        <v>54000</v>
      </c>
      <c r="T55" s="7"/>
      <c r="U55" s="35">
        <f>54000</f>
        <v>54000</v>
      </c>
      <c r="V55" s="7"/>
      <c r="W55" s="22">
        <f t="shared" si="3"/>
        <v>100</v>
      </c>
      <c r="X55" s="44"/>
      <c r="Y55" s="48">
        <f t="shared" si="4"/>
        <v>0</v>
      </c>
      <c r="Z55" s="48"/>
      <c r="AA55" s="45"/>
      <c r="AB55" s="45"/>
      <c r="AC55" s="45"/>
    </row>
    <row r="56" spans="1:29" ht="48.75" customHeight="1" x14ac:dyDescent="0.2">
      <c r="A56" s="24" t="s">
        <v>96</v>
      </c>
      <c r="B56" s="25" t="s">
        <v>94</v>
      </c>
      <c r="C56" s="32"/>
      <c r="D56" s="32"/>
      <c r="E56" s="32"/>
      <c r="F56" s="32"/>
      <c r="G56" s="14">
        <f>H56+I56+J56</f>
        <v>1400</v>
      </c>
      <c r="H56" s="6">
        <f>H57</f>
        <v>0</v>
      </c>
      <c r="I56" s="6">
        <f>I57</f>
        <v>1400</v>
      </c>
      <c r="J56" s="6">
        <f>J57</f>
        <v>0</v>
      </c>
      <c r="K56" s="6">
        <f>L56+M56+N56</f>
        <v>1400</v>
      </c>
      <c r="L56" s="6">
        <f>L57</f>
        <v>0</v>
      </c>
      <c r="M56" s="6">
        <f>M57</f>
        <v>1400</v>
      </c>
      <c r="N56" s="6">
        <f>N57</f>
        <v>0</v>
      </c>
      <c r="O56" s="6">
        <f>P56+Q56+R56</f>
        <v>1033.374</v>
      </c>
      <c r="P56" s="6">
        <f>P57</f>
        <v>0</v>
      </c>
      <c r="Q56" s="6">
        <f>Q57</f>
        <v>1033.374</v>
      </c>
      <c r="R56" s="6">
        <f>R57</f>
        <v>0</v>
      </c>
      <c r="S56" s="6">
        <f>T56+U56+V56</f>
        <v>1033.374</v>
      </c>
      <c r="T56" s="6">
        <f>T57</f>
        <v>0</v>
      </c>
      <c r="U56" s="6">
        <f>U57</f>
        <v>1033.374</v>
      </c>
      <c r="V56" s="6">
        <f>V57</f>
        <v>0</v>
      </c>
      <c r="W56" s="22">
        <f t="shared" si="3"/>
        <v>73.812428571428583</v>
      </c>
      <c r="X56" s="44"/>
      <c r="Y56" s="48">
        <f t="shared" si="4"/>
        <v>0</v>
      </c>
      <c r="Z56" s="48"/>
      <c r="AA56" s="45"/>
      <c r="AB56" s="45"/>
      <c r="AC56" s="45"/>
    </row>
    <row r="57" spans="1:29" ht="48.75" customHeight="1" x14ac:dyDescent="0.2">
      <c r="A57" s="26" t="s">
        <v>97</v>
      </c>
      <c r="B57" s="28" t="s">
        <v>95</v>
      </c>
      <c r="C57" s="31" t="s">
        <v>195</v>
      </c>
      <c r="D57" s="31"/>
      <c r="E57" s="31"/>
      <c r="F57" s="31" t="s">
        <v>54</v>
      </c>
      <c r="G57" s="10">
        <f>H57+I57+J57</f>
        <v>1400</v>
      </c>
      <c r="H57" s="7">
        <v>0</v>
      </c>
      <c r="I57" s="7">
        <v>1400</v>
      </c>
      <c r="J57" s="7">
        <v>0</v>
      </c>
      <c r="K57" s="7">
        <f>SUM(L57:N57)</f>
        <v>1400</v>
      </c>
      <c r="L57" s="7"/>
      <c r="M57" s="7">
        <v>1400</v>
      </c>
      <c r="N57" s="7"/>
      <c r="O57" s="7">
        <f>SUM(P57:R57)</f>
        <v>1033.374</v>
      </c>
      <c r="P57" s="7"/>
      <c r="Q57" s="35">
        <f>1033374/1000</f>
        <v>1033.374</v>
      </c>
      <c r="R57" s="7"/>
      <c r="S57" s="7">
        <f>SUM(T57:V57)</f>
        <v>1033.374</v>
      </c>
      <c r="T57" s="7"/>
      <c r="U57" s="7">
        <f>1033374/1000</f>
        <v>1033.374</v>
      </c>
      <c r="V57" s="7"/>
      <c r="W57" s="22">
        <f t="shared" si="3"/>
        <v>73.812428571428583</v>
      </c>
      <c r="X57" s="44"/>
      <c r="Y57" s="48">
        <f t="shared" si="4"/>
        <v>0</v>
      </c>
      <c r="Z57" s="48"/>
      <c r="AA57" s="45"/>
      <c r="AB57" s="45"/>
      <c r="AC57" s="45"/>
    </row>
    <row r="58" spans="1:29" ht="55.5" customHeight="1" x14ac:dyDescent="0.2">
      <c r="A58" s="24" t="s">
        <v>123</v>
      </c>
      <c r="B58" s="25" t="s">
        <v>124</v>
      </c>
      <c r="C58" s="32"/>
      <c r="D58" s="32"/>
      <c r="E58" s="32"/>
      <c r="F58" s="32"/>
      <c r="G58" s="14">
        <f>H58+I58+J58</f>
        <v>19805.7</v>
      </c>
      <c r="H58" s="6">
        <f>SUM(H59:H61)</f>
        <v>18221.2</v>
      </c>
      <c r="I58" s="6">
        <f>SUM(I59:I61)</f>
        <v>1584.5</v>
      </c>
      <c r="J58" s="6">
        <f>SUM(J59:J61)</f>
        <v>0</v>
      </c>
      <c r="K58" s="6">
        <f t="shared" si="21"/>
        <v>19805.7</v>
      </c>
      <c r="L58" s="6">
        <f>SUM(L59:L61)</f>
        <v>18221.2</v>
      </c>
      <c r="M58" s="6">
        <f>SUM(M59:M61)</f>
        <v>1584.5</v>
      </c>
      <c r="N58" s="6">
        <f>SUM(N59:N61)</f>
        <v>0</v>
      </c>
      <c r="O58" s="6">
        <f>P58+Q58+R58</f>
        <v>6531.54403</v>
      </c>
      <c r="P58" s="6">
        <f>SUM(P59:P61)</f>
        <v>6009.0059899999997</v>
      </c>
      <c r="Q58" s="6">
        <f>SUM(Q59:Q61)</f>
        <v>522.53804000000002</v>
      </c>
      <c r="R58" s="6">
        <f>SUM(R59:R61)</f>
        <v>0</v>
      </c>
      <c r="S58" s="6">
        <f>T58+U58+V58</f>
        <v>3161.8237000000004</v>
      </c>
      <c r="T58" s="6">
        <f>SUM(T59:T61)</f>
        <v>2908.8707800000002</v>
      </c>
      <c r="U58" s="6">
        <f>SUM(U59:U61)</f>
        <v>252.95292000000001</v>
      </c>
      <c r="V58" s="6">
        <f>SUM(V59:V61)</f>
        <v>0</v>
      </c>
      <c r="W58" s="22">
        <f t="shared" si="3"/>
        <v>15.96421080799972</v>
      </c>
      <c r="X58" s="44"/>
      <c r="Y58" s="48">
        <f t="shared" si="4"/>
        <v>3369.7203299999996</v>
      </c>
      <c r="Z58" s="48"/>
      <c r="AA58" s="45"/>
      <c r="AB58" s="45"/>
      <c r="AC58" s="45"/>
    </row>
    <row r="59" spans="1:29" ht="68.25" customHeight="1" x14ac:dyDescent="0.2">
      <c r="A59" s="26" t="s">
        <v>125</v>
      </c>
      <c r="B59" s="28" t="s">
        <v>128</v>
      </c>
      <c r="C59" s="31" t="s">
        <v>196</v>
      </c>
      <c r="D59" s="31" t="s">
        <v>196</v>
      </c>
      <c r="E59" s="31"/>
      <c r="F59" s="31" t="s">
        <v>55</v>
      </c>
      <c r="G59" s="10">
        <f t="shared" ref="G59:G69" si="22">H59+I59+J59</f>
        <v>19805.7</v>
      </c>
      <c r="H59" s="7">
        <v>18221.2</v>
      </c>
      <c r="I59" s="10">
        <v>1584.5</v>
      </c>
      <c r="J59" s="7"/>
      <c r="K59" s="7">
        <f>SUM(L59:N59)</f>
        <v>19805.7</v>
      </c>
      <c r="L59" s="7">
        <v>18221.2</v>
      </c>
      <c r="M59" s="10">
        <v>1584.5</v>
      </c>
      <c r="N59" s="7"/>
      <c r="O59" s="89">
        <f t="shared" ref="O59:O65" si="23">SUM(P59:R59)</f>
        <v>6531.54403</v>
      </c>
      <c r="P59" s="35">
        <f>[1]СЕНТЯБРЬ!$I$11/1000</f>
        <v>6009.0059899999997</v>
      </c>
      <c r="Q59" s="35">
        <f>[1]СЕНТЯБРЬ!$I$19/1000</f>
        <v>522.53804000000002</v>
      </c>
      <c r="R59" s="7"/>
      <c r="S59" s="7">
        <f t="shared" ref="S59:S65" si="24">SUM(T59:V59)</f>
        <v>3161.8237000000004</v>
      </c>
      <c r="T59" s="35">
        <f>[1]СЕНТЯБРЬ!$J$11/1000</f>
        <v>2908.8707800000002</v>
      </c>
      <c r="U59" s="35">
        <f>252952.92/1000</f>
        <v>252.95292000000001</v>
      </c>
      <c r="V59" s="7"/>
      <c r="W59" s="22">
        <f t="shared" si="3"/>
        <v>15.96421080799972</v>
      </c>
      <c r="X59" s="44"/>
      <c r="Y59" s="48">
        <f t="shared" si="4"/>
        <v>3369.7203299999996</v>
      </c>
      <c r="Z59" s="48"/>
      <c r="AA59" s="45"/>
      <c r="AB59" s="45"/>
      <c r="AC59" s="45"/>
    </row>
    <row r="60" spans="1:29" ht="33.75" hidden="1" customHeight="1" x14ac:dyDescent="0.2">
      <c r="A60" s="26" t="s">
        <v>126</v>
      </c>
      <c r="B60" s="28" t="s">
        <v>129</v>
      </c>
      <c r="C60" s="31"/>
      <c r="D60" s="31"/>
      <c r="E60" s="31"/>
      <c r="F60" s="31"/>
      <c r="G60" s="10">
        <f t="shared" si="22"/>
        <v>0</v>
      </c>
      <c r="H60" s="7"/>
      <c r="I60" s="10"/>
      <c r="J60" s="7"/>
      <c r="K60" s="7">
        <f>SUM(L60:N60)</f>
        <v>0</v>
      </c>
      <c r="L60" s="7"/>
      <c r="M60" s="10"/>
      <c r="N60" s="7"/>
      <c r="O60" s="7">
        <f t="shared" si="23"/>
        <v>0</v>
      </c>
      <c r="P60" s="7"/>
      <c r="Q60" s="7">
        <f>U60</f>
        <v>0</v>
      </c>
      <c r="R60" s="7"/>
      <c r="S60" s="7">
        <f t="shared" si="24"/>
        <v>0</v>
      </c>
      <c r="T60" s="7"/>
      <c r="U60" s="7"/>
      <c r="V60" s="7"/>
      <c r="W60" s="22" t="e">
        <f t="shared" si="3"/>
        <v>#DIV/0!</v>
      </c>
      <c r="X60" s="44"/>
      <c r="Y60" s="48">
        <f t="shared" si="4"/>
        <v>0</v>
      </c>
      <c r="Z60" s="48"/>
      <c r="AA60" s="45"/>
      <c r="AB60" s="45"/>
      <c r="AC60" s="45"/>
    </row>
    <row r="61" spans="1:29" ht="39" hidden="1" customHeight="1" x14ac:dyDescent="0.2">
      <c r="A61" s="26" t="s">
        <v>127</v>
      </c>
      <c r="B61" s="28" t="s">
        <v>130</v>
      </c>
      <c r="C61" s="31"/>
      <c r="D61" s="31"/>
      <c r="E61" s="31"/>
      <c r="F61" s="31"/>
      <c r="G61" s="10">
        <f t="shared" si="22"/>
        <v>0</v>
      </c>
      <c r="H61" s="7"/>
      <c r="I61" s="10"/>
      <c r="J61" s="7"/>
      <c r="K61" s="7">
        <f>SUM(L61:N61)</f>
        <v>0</v>
      </c>
      <c r="L61" s="35"/>
      <c r="M61" s="10"/>
      <c r="N61" s="7"/>
      <c r="O61" s="7">
        <f t="shared" si="23"/>
        <v>0</v>
      </c>
      <c r="P61" s="7">
        <f>T61</f>
        <v>0</v>
      </c>
      <c r="Q61" s="7">
        <f>U61</f>
        <v>0</v>
      </c>
      <c r="R61" s="7"/>
      <c r="S61" s="7">
        <f t="shared" si="24"/>
        <v>0</v>
      </c>
      <c r="T61" s="7"/>
      <c r="U61" s="7"/>
      <c r="V61" s="7"/>
      <c r="W61" s="22" t="e">
        <f t="shared" si="3"/>
        <v>#DIV/0!</v>
      </c>
      <c r="X61" s="44"/>
      <c r="Y61" s="48">
        <f t="shared" si="4"/>
        <v>0</v>
      </c>
      <c r="Z61" s="48"/>
      <c r="AA61" s="45"/>
      <c r="AB61" s="45"/>
      <c r="AC61" s="45"/>
    </row>
    <row r="62" spans="1:29" ht="84" hidden="1" customHeight="1" x14ac:dyDescent="0.2">
      <c r="A62" s="24" t="s">
        <v>131</v>
      </c>
      <c r="B62" s="25" t="s">
        <v>132</v>
      </c>
      <c r="C62" s="32"/>
      <c r="D62" s="32"/>
      <c r="E62" s="32"/>
      <c r="F62" s="32"/>
      <c r="G62" s="14">
        <f t="shared" si="22"/>
        <v>0</v>
      </c>
      <c r="H62" s="6">
        <f>SUM(H63:H63)</f>
        <v>0</v>
      </c>
      <c r="I62" s="6">
        <f>SUM(I63:I63)</f>
        <v>0</v>
      </c>
      <c r="J62" s="6">
        <f>SUM(J63:J63)</f>
        <v>0</v>
      </c>
      <c r="K62" s="6">
        <f>L62+M62+N62</f>
        <v>0</v>
      </c>
      <c r="L62" s="6">
        <f>SUM(L63:L63)</f>
        <v>0</v>
      </c>
      <c r="M62" s="6">
        <f>SUM(M63:M63)</f>
        <v>0</v>
      </c>
      <c r="N62" s="6">
        <f>SUM(N63:N63)</f>
        <v>0</v>
      </c>
      <c r="O62" s="6">
        <f t="shared" si="23"/>
        <v>0</v>
      </c>
      <c r="P62" s="6">
        <f>SUM(P63:P63)</f>
        <v>0</v>
      </c>
      <c r="Q62" s="6">
        <f>SUM(Q63:Q63)</f>
        <v>0</v>
      </c>
      <c r="R62" s="6">
        <f>SUM(R63:R63)</f>
        <v>0</v>
      </c>
      <c r="S62" s="6">
        <f t="shared" si="24"/>
        <v>0</v>
      </c>
      <c r="T62" s="6">
        <f>SUM(T63:T63)</f>
        <v>0</v>
      </c>
      <c r="U62" s="6">
        <f>SUM(U63:U63)</f>
        <v>0</v>
      </c>
      <c r="V62" s="6">
        <f>SUM(V63:V63)</f>
        <v>0</v>
      </c>
      <c r="W62" s="22" t="e">
        <f t="shared" si="3"/>
        <v>#DIV/0!</v>
      </c>
      <c r="X62" s="44"/>
      <c r="Y62" s="48">
        <f t="shared" si="4"/>
        <v>0</v>
      </c>
      <c r="Z62" s="48"/>
      <c r="AA62" s="45"/>
      <c r="AB62" s="45"/>
      <c r="AC62" s="45"/>
    </row>
    <row r="63" spans="1:29" ht="78.75" hidden="1" customHeight="1" x14ac:dyDescent="0.2">
      <c r="A63" s="34" t="s">
        <v>133</v>
      </c>
      <c r="B63" s="66" t="s">
        <v>102</v>
      </c>
      <c r="C63" s="31" t="s">
        <v>197</v>
      </c>
      <c r="D63" s="31" t="s">
        <v>197</v>
      </c>
      <c r="E63" s="31"/>
      <c r="F63" s="31" t="s">
        <v>53</v>
      </c>
      <c r="G63" s="10">
        <f t="shared" si="22"/>
        <v>0</v>
      </c>
      <c r="H63" s="7">
        <f>L63</f>
        <v>0</v>
      </c>
      <c r="I63" s="10">
        <f>M63</f>
        <v>0</v>
      </c>
      <c r="J63" s="7">
        <v>0</v>
      </c>
      <c r="K63" s="7">
        <f>L63+M63+N63</f>
        <v>0</v>
      </c>
      <c r="L63" s="7"/>
      <c r="M63" s="7"/>
      <c r="N63" s="7"/>
      <c r="O63" s="7">
        <f t="shared" si="23"/>
        <v>0</v>
      </c>
      <c r="P63" s="7"/>
      <c r="Q63" s="7">
        <f>U63</f>
        <v>0</v>
      </c>
      <c r="R63" s="7"/>
      <c r="S63" s="7">
        <f t="shared" si="24"/>
        <v>0</v>
      </c>
      <c r="T63" s="7">
        <v>0</v>
      </c>
      <c r="U63" s="7">
        <v>0</v>
      </c>
      <c r="V63" s="7"/>
      <c r="W63" s="22" t="e">
        <f t="shared" si="3"/>
        <v>#DIV/0!</v>
      </c>
      <c r="X63" s="44"/>
      <c r="Y63" s="48">
        <f t="shared" si="4"/>
        <v>0</v>
      </c>
      <c r="Z63" s="48"/>
      <c r="AA63" s="45"/>
      <c r="AB63" s="45"/>
      <c r="AC63" s="45"/>
    </row>
    <row r="64" spans="1:29" ht="39.75" customHeight="1" x14ac:dyDescent="0.2">
      <c r="A64" s="24" t="s">
        <v>131</v>
      </c>
      <c r="B64" s="25" t="s">
        <v>135</v>
      </c>
      <c r="C64" s="32"/>
      <c r="D64" s="32"/>
      <c r="E64" s="32"/>
      <c r="F64" s="32"/>
      <c r="G64" s="14">
        <f>H64+I64+J64</f>
        <v>8936.5</v>
      </c>
      <c r="H64" s="6">
        <f>H65</f>
        <v>8757.7000000000007</v>
      </c>
      <c r="I64" s="6">
        <f>I65</f>
        <v>178.8</v>
      </c>
      <c r="J64" s="6">
        <f>J65</f>
        <v>0</v>
      </c>
      <c r="K64" s="14">
        <f>L64+M64+N64</f>
        <v>10870.5</v>
      </c>
      <c r="L64" s="6">
        <f>L65</f>
        <v>8757.7000000000007</v>
      </c>
      <c r="M64" s="6">
        <f>M65</f>
        <v>2112.8000000000002</v>
      </c>
      <c r="N64" s="6"/>
      <c r="O64" s="14">
        <f>P64+Q64+R64</f>
        <v>4855.2499200000002</v>
      </c>
      <c r="P64" s="6">
        <f>P65</f>
        <v>4758.1068800000003</v>
      </c>
      <c r="Q64" s="6">
        <f>Q65</f>
        <v>97.143039999999999</v>
      </c>
      <c r="R64" s="6"/>
      <c r="S64" s="14">
        <f>T64+U64+V64</f>
        <v>4855.2499200000002</v>
      </c>
      <c r="T64" s="6">
        <f>T65</f>
        <v>4758.1068800000003</v>
      </c>
      <c r="U64" s="6">
        <f>U65</f>
        <v>97.143039999999999</v>
      </c>
      <c r="V64" s="6"/>
      <c r="W64" s="22">
        <f t="shared" si="3"/>
        <v>44.66445812060163</v>
      </c>
      <c r="X64" s="44"/>
      <c r="Y64" s="48">
        <f t="shared" si="4"/>
        <v>0</v>
      </c>
      <c r="Z64" s="48"/>
      <c r="AA64" s="45"/>
      <c r="AB64" s="45"/>
      <c r="AC64" s="45"/>
    </row>
    <row r="65" spans="1:29" ht="92.25" customHeight="1" x14ac:dyDescent="0.2">
      <c r="A65" s="26" t="s">
        <v>133</v>
      </c>
      <c r="B65" s="28" t="s">
        <v>248</v>
      </c>
      <c r="C65" s="31" t="s">
        <v>252</v>
      </c>
      <c r="D65" s="31" t="s">
        <v>252</v>
      </c>
      <c r="E65" s="31"/>
      <c r="F65" s="31" t="s">
        <v>56</v>
      </c>
      <c r="G65" s="10">
        <f t="shared" si="22"/>
        <v>8936.5</v>
      </c>
      <c r="H65" s="7">
        <v>8757.7000000000007</v>
      </c>
      <c r="I65" s="10">
        <v>178.8</v>
      </c>
      <c r="J65" s="7"/>
      <c r="K65" s="7">
        <f>L65+M65+N65</f>
        <v>10870.5</v>
      </c>
      <c r="L65" s="7">
        <v>8757.7000000000007</v>
      </c>
      <c r="M65" s="10">
        <f>178.8+1934</f>
        <v>2112.8000000000002</v>
      </c>
      <c r="N65" s="7"/>
      <c r="O65" s="7">
        <f t="shared" si="23"/>
        <v>4855.2499200000002</v>
      </c>
      <c r="P65" s="35">
        <f>4758106.88/1000</f>
        <v>4758.1068800000003</v>
      </c>
      <c r="Q65" s="35">
        <f>97143.04/1000</f>
        <v>97.143039999999999</v>
      </c>
      <c r="R65" s="7"/>
      <c r="S65" s="7">
        <f t="shared" si="24"/>
        <v>4855.2499200000002</v>
      </c>
      <c r="T65" s="35">
        <f>4758106.88/1000</f>
        <v>4758.1068800000003</v>
      </c>
      <c r="U65" s="35">
        <f>97143.04/1000</f>
        <v>97.143039999999999</v>
      </c>
      <c r="V65" s="7"/>
      <c r="W65" s="22">
        <f t="shared" si="3"/>
        <v>44.66445812060163</v>
      </c>
      <c r="X65" s="44"/>
      <c r="Y65" s="48">
        <f t="shared" si="4"/>
        <v>0</v>
      </c>
      <c r="Z65" s="48"/>
      <c r="AA65" s="45"/>
      <c r="AB65" s="45"/>
      <c r="AC65" s="45"/>
    </row>
    <row r="66" spans="1:29" ht="54.75" customHeight="1" x14ac:dyDescent="0.2">
      <c r="A66" s="24" t="s">
        <v>134</v>
      </c>
      <c r="B66" s="25" t="s">
        <v>137</v>
      </c>
      <c r="C66" s="32"/>
      <c r="D66" s="32"/>
      <c r="E66" s="32"/>
      <c r="F66" s="32"/>
      <c r="G66" s="14">
        <f t="shared" ref="G66:V66" si="25">G68</f>
        <v>101662.9</v>
      </c>
      <c r="H66" s="6">
        <f t="shared" si="25"/>
        <v>99629.5</v>
      </c>
      <c r="I66" s="6">
        <f t="shared" si="25"/>
        <v>2033.4</v>
      </c>
      <c r="J66" s="6">
        <f t="shared" si="25"/>
        <v>0</v>
      </c>
      <c r="K66" s="14">
        <f t="shared" si="25"/>
        <v>101662.9</v>
      </c>
      <c r="L66" s="6">
        <f t="shared" si="25"/>
        <v>99629.5</v>
      </c>
      <c r="M66" s="6">
        <f t="shared" si="25"/>
        <v>2033.3999999999999</v>
      </c>
      <c r="N66" s="6">
        <f t="shared" si="25"/>
        <v>0</v>
      </c>
      <c r="O66" s="14">
        <f t="shared" si="25"/>
        <v>45912.3</v>
      </c>
      <c r="P66" s="6">
        <f>P68</f>
        <v>44993.989860000001</v>
      </c>
      <c r="Q66" s="6">
        <f>Q68</f>
        <v>918.31014000000005</v>
      </c>
      <c r="R66" s="6">
        <f t="shared" si="25"/>
        <v>0</v>
      </c>
      <c r="S66" s="14">
        <f t="shared" si="25"/>
        <v>45912.3</v>
      </c>
      <c r="T66" s="6">
        <f t="shared" si="25"/>
        <v>44993.989860000001</v>
      </c>
      <c r="U66" s="6">
        <f t="shared" si="25"/>
        <v>918.31014000000005</v>
      </c>
      <c r="V66" s="6">
        <f t="shared" si="25"/>
        <v>0</v>
      </c>
      <c r="W66" s="22">
        <f t="shared" si="3"/>
        <v>45.161312533874209</v>
      </c>
      <c r="X66" s="44"/>
      <c r="Y66" s="48">
        <f t="shared" si="4"/>
        <v>0</v>
      </c>
      <c r="Z66" s="48"/>
      <c r="AA66" s="45"/>
      <c r="AB66" s="45"/>
      <c r="AC66" s="45"/>
    </row>
    <row r="67" spans="1:29" ht="42" hidden="1" customHeight="1" x14ac:dyDescent="0.2">
      <c r="A67" s="34" t="s">
        <v>138</v>
      </c>
      <c r="B67" s="28" t="s">
        <v>253</v>
      </c>
      <c r="C67" s="31"/>
      <c r="D67" s="31"/>
      <c r="E67" s="31"/>
      <c r="F67" s="31"/>
      <c r="G67" s="10">
        <f t="shared" si="22"/>
        <v>0</v>
      </c>
      <c r="H67" s="7"/>
      <c r="I67" s="10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2" t="e">
        <f t="shared" si="3"/>
        <v>#DIV/0!</v>
      </c>
      <c r="X67" s="44"/>
      <c r="Y67" s="48">
        <f t="shared" si="4"/>
        <v>0</v>
      </c>
      <c r="Z67" s="48"/>
      <c r="AA67" s="45"/>
      <c r="AB67" s="45"/>
      <c r="AC67" s="45"/>
    </row>
    <row r="68" spans="1:29" s="45" customFormat="1" ht="54.75" customHeight="1" x14ac:dyDescent="0.2">
      <c r="A68" s="34" t="s">
        <v>249</v>
      </c>
      <c r="B68" s="28" t="s">
        <v>250</v>
      </c>
      <c r="C68" s="26" t="s">
        <v>251</v>
      </c>
      <c r="D68" s="26" t="s">
        <v>251</v>
      </c>
      <c r="E68" s="26"/>
      <c r="F68" s="26" t="s">
        <v>56</v>
      </c>
      <c r="G68" s="41">
        <f>H68+I68+J68</f>
        <v>101662.9</v>
      </c>
      <c r="H68" s="35">
        <v>99629.5</v>
      </c>
      <c r="I68" s="41">
        <v>2033.4</v>
      </c>
      <c r="J68" s="35"/>
      <c r="K68" s="7">
        <f>L68+M68+N68</f>
        <v>101662.9</v>
      </c>
      <c r="L68" s="35">
        <f>90773.5+8856</f>
        <v>99629.5</v>
      </c>
      <c r="M68" s="35">
        <f>1852.6+180.8</f>
        <v>2033.3999999999999</v>
      </c>
      <c r="N68" s="35"/>
      <c r="O68" s="89">
        <f>SUM(P68:R68)</f>
        <v>45912.3</v>
      </c>
      <c r="P68" s="35">
        <f>(38848923.36+6145066.5)/1000</f>
        <v>44993.989860000001</v>
      </c>
      <c r="Q68" s="35">
        <f>(792891.66+125418.48)/1000</f>
        <v>918.31014000000005</v>
      </c>
      <c r="R68" s="35"/>
      <c r="S68" s="7">
        <f>SUM(T68:V68)</f>
        <v>45912.3</v>
      </c>
      <c r="T68" s="35">
        <f>(38848923.36+6145066.5)/1000</f>
        <v>44993.989860000001</v>
      </c>
      <c r="U68" s="35">
        <f>(792891.66+125418.48)/1000</f>
        <v>918.31014000000005</v>
      </c>
      <c r="V68" s="35"/>
      <c r="W68" s="79">
        <f t="shared" si="3"/>
        <v>45.161312533874209</v>
      </c>
      <c r="X68" s="46"/>
      <c r="Y68" s="80">
        <f t="shared" si="4"/>
        <v>0</v>
      </c>
      <c r="Z68" s="80"/>
    </row>
    <row r="69" spans="1:29" ht="57.75" hidden="1" customHeight="1" x14ac:dyDescent="0.2">
      <c r="A69" s="34" t="s">
        <v>249</v>
      </c>
      <c r="B69" s="27" t="s">
        <v>140</v>
      </c>
      <c r="C69" s="31"/>
      <c r="D69" s="31"/>
      <c r="E69" s="31"/>
      <c r="F69" s="31"/>
      <c r="G69" s="10">
        <f t="shared" si="22"/>
        <v>0</v>
      </c>
      <c r="H69" s="7"/>
      <c r="I69" s="10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22" t="e">
        <f t="shared" si="3"/>
        <v>#DIV/0!</v>
      </c>
      <c r="X69" s="44"/>
      <c r="Y69" s="48">
        <f t="shared" si="4"/>
        <v>0</v>
      </c>
      <c r="Z69" s="48"/>
      <c r="AA69" s="45"/>
      <c r="AB69" s="45"/>
      <c r="AC69" s="45"/>
    </row>
    <row r="70" spans="1:29" ht="88.5" hidden="1" customHeight="1" x14ac:dyDescent="0.2">
      <c r="A70" s="24" t="s">
        <v>136</v>
      </c>
      <c r="B70" s="25" t="s">
        <v>142</v>
      </c>
      <c r="C70" s="32"/>
      <c r="D70" s="32"/>
      <c r="E70" s="32"/>
      <c r="F70" s="32"/>
      <c r="G70" s="14">
        <f>G71</f>
        <v>0</v>
      </c>
      <c r="H70" s="14">
        <f>H71</f>
        <v>0</v>
      </c>
      <c r="I70" s="14">
        <f>I71</f>
        <v>0</v>
      </c>
      <c r="J70" s="14">
        <f>J71</f>
        <v>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22" t="e">
        <f t="shared" si="3"/>
        <v>#DIV/0!</v>
      </c>
      <c r="X70" s="44"/>
      <c r="Y70" s="48">
        <f t="shared" si="4"/>
        <v>0</v>
      </c>
      <c r="Z70" s="48"/>
      <c r="AA70" s="45"/>
      <c r="AB70" s="45"/>
      <c r="AC70" s="45"/>
    </row>
    <row r="71" spans="1:29" ht="57.75" hidden="1" customHeight="1" x14ac:dyDescent="0.2">
      <c r="A71" s="34" t="s">
        <v>139</v>
      </c>
      <c r="B71" s="28" t="s">
        <v>144</v>
      </c>
      <c r="C71" s="31"/>
      <c r="D71" s="31"/>
      <c r="E71" s="31"/>
      <c r="F71" s="31"/>
      <c r="G71" s="10">
        <f>SUM(H71:J71)</f>
        <v>0</v>
      </c>
      <c r="H71" s="7"/>
      <c r="I71" s="10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22" t="e">
        <f t="shared" si="3"/>
        <v>#DIV/0!</v>
      </c>
      <c r="X71" s="44"/>
      <c r="Y71" s="48">
        <f t="shared" si="4"/>
        <v>0</v>
      </c>
      <c r="Z71" s="48"/>
      <c r="AA71" s="45"/>
      <c r="AB71" s="45"/>
      <c r="AC71" s="45"/>
    </row>
    <row r="72" spans="1:29" ht="34.5" hidden="1" customHeight="1" x14ac:dyDescent="0.2">
      <c r="A72" s="24" t="s">
        <v>141</v>
      </c>
      <c r="B72" s="25" t="s">
        <v>146</v>
      </c>
      <c r="C72" s="32"/>
      <c r="D72" s="32"/>
      <c r="E72" s="32"/>
      <c r="F72" s="32"/>
      <c r="G72" s="14">
        <f>G73</f>
        <v>0</v>
      </c>
      <c r="H72" s="14">
        <f>H73</f>
        <v>0</v>
      </c>
      <c r="I72" s="14">
        <f>I73</f>
        <v>0</v>
      </c>
      <c r="J72" s="14">
        <f>J73</f>
        <v>0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>
        <f>SUM(V75:V79)</f>
        <v>0</v>
      </c>
      <c r="W72" s="22" t="e">
        <f t="shared" si="3"/>
        <v>#DIV/0!</v>
      </c>
      <c r="X72" s="44"/>
      <c r="Y72" s="48">
        <f t="shared" si="4"/>
        <v>0</v>
      </c>
      <c r="Z72" s="48"/>
      <c r="AA72" s="45"/>
      <c r="AB72" s="45"/>
      <c r="AC72" s="45"/>
    </row>
    <row r="73" spans="1:29" ht="69.75" hidden="1" customHeight="1" x14ac:dyDescent="0.2">
      <c r="A73" s="34" t="s">
        <v>143</v>
      </c>
      <c r="B73" s="28" t="s">
        <v>148</v>
      </c>
      <c r="C73" s="31"/>
      <c r="D73" s="31"/>
      <c r="E73" s="31"/>
      <c r="F73" s="31"/>
      <c r="G73" s="10">
        <f>SUM(H73:J73)</f>
        <v>0</v>
      </c>
      <c r="H73" s="7"/>
      <c r="I73" s="10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2" t="e">
        <f>S73*100/K73</f>
        <v>#DIV/0!</v>
      </c>
      <c r="X73" s="44"/>
      <c r="Y73" s="48">
        <f>O73-S73</f>
        <v>0</v>
      </c>
      <c r="Z73" s="48"/>
      <c r="AA73" s="45"/>
      <c r="AB73" s="45"/>
      <c r="AC73" s="45"/>
    </row>
    <row r="74" spans="1:29" ht="69.75" hidden="1" customHeight="1" x14ac:dyDescent="0.2">
      <c r="A74" s="81" t="s">
        <v>145</v>
      </c>
      <c r="B74" s="25" t="s">
        <v>254</v>
      </c>
      <c r="C74" s="32"/>
      <c r="D74" s="32"/>
      <c r="E74" s="32"/>
      <c r="F74" s="32"/>
      <c r="G74" s="14">
        <f>G75</f>
        <v>0</v>
      </c>
      <c r="H74" s="14">
        <f>H75</f>
        <v>0</v>
      </c>
      <c r="I74" s="14">
        <f>I75</f>
        <v>0</v>
      </c>
      <c r="J74" s="14">
        <f>J75</f>
        <v>0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22"/>
      <c r="X74" s="44"/>
      <c r="Y74" s="48"/>
      <c r="Z74" s="48"/>
      <c r="AA74" s="45"/>
      <c r="AB74" s="45"/>
      <c r="AC74" s="45"/>
    </row>
    <row r="75" spans="1:29" ht="69.75" hidden="1" customHeight="1" x14ac:dyDescent="0.2">
      <c r="A75" s="34" t="s">
        <v>147</v>
      </c>
      <c r="B75" s="28" t="s">
        <v>283</v>
      </c>
      <c r="C75" s="31"/>
      <c r="D75" s="31"/>
      <c r="E75" s="31"/>
      <c r="F75" s="31"/>
      <c r="G75" s="10">
        <f>SUM(H75:J75)</f>
        <v>0</v>
      </c>
      <c r="H75" s="7"/>
      <c r="I75" s="10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22" t="e">
        <f t="shared" si="3"/>
        <v>#DIV/0!</v>
      </c>
      <c r="X75" s="44"/>
      <c r="Y75" s="48">
        <f t="shared" si="4"/>
        <v>0</v>
      </c>
      <c r="Z75" s="48"/>
      <c r="AA75" s="45"/>
      <c r="AB75" s="45"/>
      <c r="AC75" s="45"/>
    </row>
    <row r="76" spans="1:29" ht="25.5" customHeight="1" x14ac:dyDescent="0.2">
      <c r="A76" s="134" t="s">
        <v>150</v>
      </c>
      <c r="B76" s="134"/>
      <c r="C76" s="30"/>
      <c r="D76" s="30"/>
      <c r="E76" s="30"/>
      <c r="F76" s="30"/>
      <c r="G76" s="15">
        <f t="shared" ref="G76:G96" si="26">H76+I76+J76</f>
        <v>219322.2</v>
      </c>
      <c r="H76" s="15">
        <f>H77+H83+H85+H89+H93+H95</f>
        <v>169243.2</v>
      </c>
      <c r="I76" s="15">
        <f>I77+I83+I85+I89+I93+I95</f>
        <v>50079</v>
      </c>
      <c r="J76" s="15">
        <f>J77+J83+J85+J89+J93+J95</f>
        <v>0</v>
      </c>
      <c r="K76" s="15">
        <f>L76+M76+N76</f>
        <v>218822.2</v>
      </c>
      <c r="L76" s="15">
        <f>L77+L83+L85+L89+L93+L95</f>
        <v>169243.2</v>
      </c>
      <c r="M76" s="15">
        <f>M77+M83+M85+M89+M93+M95</f>
        <v>49579</v>
      </c>
      <c r="N76" s="15">
        <f>N77+N83+N85+N89+N93+N95</f>
        <v>0</v>
      </c>
      <c r="O76" s="15">
        <f>P76+Q76+R76</f>
        <v>18850.60513</v>
      </c>
      <c r="P76" s="15">
        <f>P77+P83+P85+P89+P93+P95</f>
        <v>5520</v>
      </c>
      <c r="Q76" s="15">
        <f>Q77+Q83+Q85+Q89+Q93+Q95</f>
        <v>13330.60513</v>
      </c>
      <c r="R76" s="15">
        <f>R77+R83+R85+R89+R93+R95</f>
        <v>0</v>
      </c>
      <c r="S76" s="15">
        <f>T76+U76+V76</f>
        <v>18850.61161</v>
      </c>
      <c r="T76" s="15">
        <f>T77+T83+T85+T89+T93+T95</f>
        <v>5520</v>
      </c>
      <c r="U76" s="15">
        <f>U77+U83+U85+U89+U93+U95</f>
        <v>13330.61161</v>
      </c>
      <c r="V76" s="15">
        <f>V77+V83+V85+V89+V93+V95</f>
        <v>0</v>
      </c>
      <c r="W76" s="22">
        <f t="shared" si="3"/>
        <v>8.6145791469055695</v>
      </c>
      <c r="X76" s="44"/>
      <c r="Y76" s="48">
        <f t="shared" si="4"/>
        <v>-6.4800000000104774E-3</v>
      </c>
      <c r="Z76" s="48"/>
      <c r="AA76" s="45"/>
      <c r="AB76" s="45"/>
      <c r="AC76" s="45"/>
    </row>
    <row r="77" spans="1:29" ht="36.75" customHeight="1" x14ac:dyDescent="0.2">
      <c r="A77" s="24" t="s">
        <v>16</v>
      </c>
      <c r="B77" s="25" t="s">
        <v>17</v>
      </c>
      <c r="C77" s="32"/>
      <c r="D77" s="32"/>
      <c r="E77" s="32"/>
      <c r="F77" s="32"/>
      <c r="G77" s="14">
        <f t="shared" si="26"/>
        <v>2928</v>
      </c>
      <c r="H77" s="14">
        <f>SUM(H78:H82)</f>
        <v>0</v>
      </c>
      <c r="I77" s="14">
        <f>SUM(I78:I82)</f>
        <v>2928</v>
      </c>
      <c r="J77" s="14">
        <f>SUM(J78:J82)</f>
        <v>0</v>
      </c>
      <c r="K77" s="14">
        <f>L77+M77+N77</f>
        <v>2928</v>
      </c>
      <c r="L77" s="14">
        <f>SUM(L78:L82)</f>
        <v>0</v>
      </c>
      <c r="M77" s="14">
        <f>SUM(M78:M82)</f>
        <v>2928</v>
      </c>
      <c r="N77" s="14">
        <f>SUM(N78:N82)</f>
        <v>0</v>
      </c>
      <c r="O77" s="14">
        <f>P77+Q77+R77</f>
        <v>1246.2</v>
      </c>
      <c r="P77" s="14">
        <f>SUM(P78:P82)</f>
        <v>0</v>
      </c>
      <c r="Q77" s="14">
        <f>SUM(Q78:Q82)</f>
        <v>1246.2</v>
      </c>
      <c r="R77" s="14">
        <f>SUM(R78:R82)</f>
        <v>0</v>
      </c>
      <c r="S77" s="14">
        <f>T77+U77+V77</f>
        <v>1246.2</v>
      </c>
      <c r="T77" s="14">
        <f>SUM(T78:T82)</f>
        <v>0</v>
      </c>
      <c r="U77" s="14">
        <f>SUM(U78:U82)</f>
        <v>1246.2</v>
      </c>
      <c r="V77" s="14">
        <f>SUM(V78:V82)</f>
        <v>0</v>
      </c>
      <c r="W77" s="22">
        <f t="shared" si="3"/>
        <v>42.561475409836063</v>
      </c>
      <c r="X77" s="44"/>
      <c r="Y77" s="48">
        <f t="shared" si="4"/>
        <v>0</v>
      </c>
      <c r="Z77" s="48"/>
      <c r="AA77" s="45"/>
      <c r="AB77" s="45"/>
      <c r="AC77" s="45"/>
    </row>
    <row r="78" spans="1:29" ht="58.5" customHeight="1" x14ac:dyDescent="0.2">
      <c r="A78" s="26" t="s">
        <v>26</v>
      </c>
      <c r="B78" s="28" t="s">
        <v>18</v>
      </c>
      <c r="C78" s="31" t="s">
        <v>198</v>
      </c>
      <c r="D78" s="31"/>
      <c r="E78" s="31"/>
      <c r="F78" s="31" t="s">
        <v>64</v>
      </c>
      <c r="G78" s="10">
        <f t="shared" si="26"/>
        <v>580</v>
      </c>
      <c r="H78" s="7">
        <v>0</v>
      </c>
      <c r="I78" s="10">
        <v>580</v>
      </c>
      <c r="J78" s="7">
        <v>0</v>
      </c>
      <c r="K78" s="7">
        <f>SUM(L78:N78)</f>
        <v>580</v>
      </c>
      <c r="L78" s="7"/>
      <c r="M78" s="7">
        <v>580</v>
      </c>
      <c r="N78" s="7"/>
      <c r="O78" s="7">
        <f>SUM(P78:R78)</f>
        <v>144</v>
      </c>
      <c r="P78" s="7"/>
      <c r="Q78" s="35">
        <f>144000/1000</f>
        <v>144</v>
      </c>
      <c r="R78" s="7"/>
      <c r="S78" s="7">
        <f>SUM(T78:V78)</f>
        <v>144</v>
      </c>
      <c r="T78" s="7"/>
      <c r="U78" s="7">
        <v>144</v>
      </c>
      <c r="V78" s="7"/>
      <c r="W78" s="22">
        <f t="shared" si="3"/>
        <v>24.827586206896552</v>
      </c>
      <c r="X78" s="44"/>
      <c r="Y78" s="48">
        <f t="shared" si="4"/>
        <v>0</v>
      </c>
      <c r="Z78" s="48"/>
      <c r="AA78" s="45"/>
      <c r="AB78" s="45"/>
      <c r="AC78" s="45"/>
    </row>
    <row r="79" spans="1:29" ht="39.75" customHeight="1" x14ac:dyDescent="0.2">
      <c r="A79" s="26" t="s">
        <v>27</v>
      </c>
      <c r="B79" s="28" t="s">
        <v>173</v>
      </c>
      <c r="C79" s="31" t="s">
        <v>199</v>
      </c>
      <c r="D79" s="31"/>
      <c r="E79" s="31"/>
      <c r="F79" s="31" t="s">
        <v>65</v>
      </c>
      <c r="G79" s="10">
        <f t="shared" si="26"/>
        <v>348</v>
      </c>
      <c r="H79" s="7"/>
      <c r="I79" s="10">
        <v>348</v>
      </c>
      <c r="J79" s="7"/>
      <c r="K79" s="10">
        <f>L79+M79+N79</f>
        <v>348</v>
      </c>
      <c r="L79" s="10"/>
      <c r="M79" s="10">
        <v>348</v>
      </c>
      <c r="N79" s="10"/>
      <c r="O79" s="10">
        <f>P79+Q79+R79</f>
        <v>330</v>
      </c>
      <c r="P79" s="10"/>
      <c r="Q79" s="35">
        <f>330000/1000</f>
        <v>330</v>
      </c>
      <c r="R79" s="10"/>
      <c r="S79" s="10">
        <f>T79+U79+V79</f>
        <v>330</v>
      </c>
      <c r="T79" s="10"/>
      <c r="U79" s="10">
        <v>330</v>
      </c>
      <c r="V79" s="10"/>
      <c r="W79" s="22">
        <f t="shared" si="3"/>
        <v>94.827586206896555</v>
      </c>
      <c r="X79" s="44"/>
      <c r="Y79" s="48">
        <f t="shared" si="4"/>
        <v>0</v>
      </c>
      <c r="Z79" s="48"/>
      <c r="AA79" s="45"/>
      <c r="AB79" s="45"/>
      <c r="AC79" s="45"/>
    </row>
    <row r="80" spans="1:29" ht="61.5" customHeight="1" x14ac:dyDescent="0.2">
      <c r="A80" s="26" t="s">
        <v>32</v>
      </c>
      <c r="B80" s="28" t="s">
        <v>255</v>
      </c>
      <c r="C80" s="31" t="s">
        <v>256</v>
      </c>
      <c r="D80" s="31"/>
      <c r="E80" s="31"/>
      <c r="F80" s="31" t="s">
        <v>55</v>
      </c>
      <c r="G80" s="10">
        <f t="shared" si="26"/>
        <v>2000</v>
      </c>
      <c r="H80" s="7">
        <v>0</v>
      </c>
      <c r="I80" s="10">
        <v>2000</v>
      </c>
      <c r="J80" s="7">
        <v>0</v>
      </c>
      <c r="K80" s="7">
        <f>SUM(L80:N80)</f>
        <v>2000</v>
      </c>
      <c r="L80" s="7"/>
      <c r="M80" s="7">
        <v>2000</v>
      </c>
      <c r="N80" s="7"/>
      <c r="O80" s="7">
        <f>SUM(P80:R80)</f>
        <v>772.2</v>
      </c>
      <c r="P80" s="7"/>
      <c r="Q80" s="35">
        <f>772200/1000</f>
        <v>772.2</v>
      </c>
      <c r="R80" s="7"/>
      <c r="S80" s="7">
        <f>SUM(T80:V80)</f>
        <v>772.2</v>
      </c>
      <c r="T80" s="7"/>
      <c r="U80" s="7">
        <v>772.2</v>
      </c>
      <c r="V80" s="7"/>
      <c r="W80" s="22">
        <f t="shared" ref="W80:W162" si="27">S80*100/K80</f>
        <v>38.61</v>
      </c>
      <c r="X80" s="44"/>
      <c r="Y80" s="48">
        <f t="shared" ref="Y80:Y162" si="28">O80-S80</f>
        <v>0</v>
      </c>
      <c r="Z80" s="48"/>
      <c r="AA80" s="45"/>
      <c r="AB80" s="45"/>
      <c r="AC80" s="45"/>
    </row>
    <row r="81" spans="1:29" ht="45.75" hidden="1" customHeight="1" x14ac:dyDescent="0.2">
      <c r="A81" s="26"/>
      <c r="B81" s="27"/>
      <c r="C81" s="31"/>
      <c r="D81" s="31"/>
      <c r="E81" s="31"/>
      <c r="F81" s="31"/>
      <c r="G81" s="10">
        <f t="shared" si="26"/>
        <v>0</v>
      </c>
      <c r="H81" s="7"/>
      <c r="I81" s="10"/>
      <c r="J81" s="7"/>
      <c r="K81" s="7">
        <f>SUM(L81:N81)</f>
        <v>0</v>
      </c>
      <c r="L81" s="7"/>
      <c r="M81" s="7"/>
      <c r="N81" s="7"/>
      <c r="O81" s="7">
        <f>SUM(P81:R81)</f>
        <v>0</v>
      </c>
      <c r="P81" s="7"/>
      <c r="Q81" s="7"/>
      <c r="R81" s="7"/>
      <c r="S81" s="7">
        <f>SUM(T81:V81)</f>
        <v>0</v>
      </c>
      <c r="T81" s="7"/>
      <c r="U81" s="7"/>
      <c r="V81" s="7"/>
      <c r="W81" s="22" t="e">
        <f t="shared" si="27"/>
        <v>#DIV/0!</v>
      </c>
      <c r="X81" s="44"/>
      <c r="Y81" s="48">
        <f t="shared" si="28"/>
        <v>0</v>
      </c>
      <c r="Z81" s="48"/>
      <c r="AA81" s="45"/>
      <c r="AB81" s="45"/>
      <c r="AC81" s="45"/>
    </row>
    <row r="82" spans="1:29" ht="25.5" hidden="1" customHeight="1" x14ac:dyDescent="0.2">
      <c r="A82" s="26"/>
      <c r="B82" s="27"/>
      <c r="C82" s="31"/>
      <c r="D82" s="31"/>
      <c r="E82" s="31"/>
      <c r="F82" s="31"/>
      <c r="G82" s="10">
        <f t="shared" si="26"/>
        <v>0</v>
      </c>
      <c r="H82" s="7"/>
      <c r="I82" s="10"/>
      <c r="J82" s="7"/>
      <c r="K82" s="7">
        <f>SUM(L82:N82)</f>
        <v>0</v>
      </c>
      <c r="L82" s="7"/>
      <c r="M82" s="7"/>
      <c r="N82" s="7"/>
      <c r="O82" s="7">
        <f>SUM(P82:R82)</f>
        <v>0</v>
      </c>
      <c r="P82" s="7"/>
      <c r="Q82" s="7"/>
      <c r="R82" s="7"/>
      <c r="S82" s="7">
        <f>SUM(T82:V82)</f>
        <v>0</v>
      </c>
      <c r="T82" s="7"/>
      <c r="U82" s="7"/>
      <c r="V82" s="7"/>
      <c r="W82" s="22" t="e">
        <f t="shared" si="27"/>
        <v>#DIV/0!</v>
      </c>
      <c r="X82" s="44"/>
      <c r="Y82" s="48">
        <f t="shared" si="28"/>
        <v>0</v>
      </c>
      <c r="Z82" s="48"/>
      <c r="AA82" s="45"/>
      <c r="AB82" s="45"/>
      <c r="AC82" s="45"/>
    </row>
    <row r="83" spans="1:29" ht="57.75" customHeight="1" x14ac:dyDescent="0.2">
      <c r="A83" s="24" t="s">
        <v>7</v>
      </c>
      <c r="B83" s="25" t="s">
        <v>19</v>
      </c>
      <c r="C83" s="32"/>
      <c r="D83" s="32"/>
      <c r="E83" s="32"/>
      <c r="F83" s="32"/>
      <c r="G83" s="14">
        <f t="shared" si="26"/>
        <v>5380</v>
      </c>
      <c r="H83" s="14">
        <f>H84</f>
        <v>0</v>
      </c>
      <c r="I83" s="14">
        <f>I84</f>
        <v>5380</v>
      </c>
      <c r="J83" s="14">
        <f>J84</f>
        <v>0</v>
      </c>
      <c r="K83" s="14">
        <f>L83+M83+N83</f>
        <v>5380</v>
      </c>
      <c r="L83" s="14">
        <f>L84</f>
        <v>0</v>
      </c>
      <c r="M83" s="14">
        <f>M84</f>
        <v>5380</v>
      </c>
      <c r="N83" s="14">
        <f>N84</f>
        <v>0</v>
      </c>
      <c r="O83" s="14">
        <f>P83+Q83+R83</f>
        <v>2060.2935200000002</v>
      </c>
      <c r="P83" s="14">
        <f>P84</f>
        <v>0</v>
      </c>
      <c r="Q83" s="14">
        <f>Q84</f>
        <v>2060.2935200000002</v>
      </c>
      <c r="R83" s="14">
        <f>R84</f>
        <v>0</v>
      </c>
      <c r="S83" s="14">
        <f>T83+U83+V83</f>
        <v>2060.3000000000002</v>
      </c>
      <c r="T83" s="14">
        <f>T84</f>
        <v>0</v>
      </c>
      <c r="U83" s="14">
        <f>U84</f>
        <v>2060.3000000000002</v>
      </c>
      <c r="V83" s="14">
        <f>V84</f>
        <v>0</v>
      </c>
      <c r="W83" s="22">
        <f t="shared" si="27"/>
        <v>38.295539033457253</v>
      </c>
      <c r="X83" s="44"/>
      <c r="Y83" s="48">
        <f t="shared" si="28"/>
        <v>-6.4800000000104774E-3</v>
      </c>
      <c r="Z83" s="48"/>
      <c r="AA83" s="45"/>
      <c r="AB83" s="45"/>
      <c r="AC83" s="45"/>
    </row>
    <row r="84" spans="1:29" ht="135" customHeight="1" x14ac:dyDescent="0.2">
      <c r="A84" s="26" t="s">
        <v>29</v>
      </c>
      <c r="B84" s="28" t="s">
        <v>284</v>
      </c>
      <c r="C84" s="31" t="s">
        <v>200</v>
      </c>
      <c r="D84" s="31"/>
      <c r="E84" s="31"/>
      <c r="F84" s="31" t="s">
        <v>76</v>
      </c>
      <c r="G84" s="10">
        <f t="shared" si="26"/>
        <v>5380</v>
      </c>
      <c r="H84" s="9">
        <v>0</v>
      </c>
      <c r="I84" s="10">
        <v>5380</v>
      </c>
      <c r="J84" s="9">
        <v>0</v>
      </c>
      <c r="K84" s="7">
        <f>SUM(L84:N84)</f>
        <v>5380</v>
      </c>
      <c r="L84" s="7"/>
      <c r="M84" s="7">
        <v>5380</v>
      </c>
      <c r="N84" s="7"/>
      <c r="O84" s="7">
        <f>SUM(P84:R84)</f>
        <v>2060.2935200000002</v>
      </c>
      <c r="P84" s="7"/>
      <c r="Q84" s="35">
        <f>2060293.52/1000</f>
        <v>2060.2935200000002</v>
      </c>
      <c r="R84" s="7"/>
      <c r="S84" s="7">
        <f>SUM(T84:V84)</f>
        <v>2060.3000000000002</v>
      </c>
      <c r="T84" s="7"/>
      <c r="U84" s="7">
        <v>2060.3000000000002</v>
      </c>
      <c r="V84" s="7"/>
      <c r="W84" s="22">
        <f t="shared" si="27"/>
        <v>38.295539033457253</v>
      </c>
      <c r="X84" s="44"/>
      <c r="Y84" s="48">
        <f t="shared" si="28"/>
        <v>-6.4800000000104774E-3</v>
      </c>
      <c r="Z84" s="48"/>
      <c r="AA84" s="45"/>
      <c r="AB84" s="45"/>
      <c r="AC84" s="45"/>
    </row>
    <row r="85" spans="1:29" ht="45.75" customHeight="1" x14ac:dyDescent="0.2">
      <c r="A85" s="24" t="s">
        <v>8</v>
      </c>
      <c r="B85" s="25" t="s">
        <v>228</v>
      </c>
      <c r="C85" s="32"/>
      <c r="D85" s="32"/>
      <c r="E85" s="32"/>
      <c r="F85" s="32"/>
      <c r="G85" s="14">
        <f t="shared" si="26"/>
        <v>183723.2</v>
      </c>
      <c r="H85" s="14">
        <f>SUM(H86:H88)</f>
        <v>163723.20000000001</v>
      </c>
      <c r="I85" s="14">
        <f>SUM(I86:I88)</f>
        <v>20000</v>
      </c>
      <c r="J85" s="14">
        <f>SUM(J86:J88)</f>
        <v>0</v>
      </c>
      <c r="K85" s="14">
        <f>L85+M85+N85</f>
        <v>183723.2</v>
      </c>
      <c r="L85" s="14">
        <f>SUM(L86:L88)</f>
        <v>163723.20000000001</v>
      </c>
      <c r="M85" s="14">
        <f>SUM(M86:M88)</f>
        <v>20000</v>
      </c>
      <c r="N85" s="14">
        <f>SUM(N86:N88)</f>
        <v>0</v>
      </c>
      <c r="O85" s="14">
        <f>P85+Q85+R85</f>
        <v>9544.1116099999999</v>
      </c>
      <c r="P85" s="14">
        <f>SUM(P86:P88)</f>
        <v>0</v>
      </c>
      <c r="Q85" s="14">
        <f>SUM(Q86:Q88)</f>
        <v>9544.1116099999999</v>
      </c>
      <c r="R85" s="14">
        <f>SUM(R86:R88)</f>
        <v>0</v>
      </c>
      <c r="S85" s="14">
        <f>T85+U85+V85</f>
        <v>9544.1116099999999</v>
      </c>
      <c r="T85" s="14">
        <f>SUM(T86:T88)</f>
        <v>0</v>
      </c>
      <c r="U85" s="14">
        <f>SUM(U86:U88)</f>
        <v>9544.1116099999999</v>
      </c>
      <c r="V85" s="14">
        <f>SUM(V86:V88)</f>
        <v>0</v>
      </c>
      <c r="W85" s="22">
        <f>S85*100/K85</f>
        <v>5.1948320135943629</v>
      </c>
      <c r="X85" s="44"/>
      <c r="Y85" s="48">
        <f t="shared" si="28"/>
        <v>0</v>
      </c>
      <c r="Z85" s="48"/>
      <c r="AA85" s="45"/>
      <c r="AB85" s="45"/>
      <c r="AC85" s="45"/>
    </row>
    <row r="86" spans="1:29" ht="40.5" customHeight="1" x14ac:dyDescent="0.2">
      <c r="A86" s="26" t="s">
        <v>30</v>
      </c>
      <c r="B86" s="28" t="s">
        <v>149</v>
      </c>
      <c r="C86" s="31" t="s">
        <v>201</v>
      </c>
      <c r="D86" s="31"/>
      <c r="E86" s="31"/>
      <c r="F86" s="31" t="s">
        <v>53</v>
      </c>
      <c r="G86" s="10">
        <f t="shared" si="26"/>
        <v>20000</v>
      </c>
      <c r="H86" s="7"/>
      <c r="I86" s="10">
        <v>20000</v>
      </c>
      <c r="J86" s="7">
        <v>0</v>
      </c>
      <c r="K86" s="7">
        <f t="shared" ref="K86:K91" si="29">L86+M86+N86</f>
        <v>20000</v>
      </c>
      <c r="L86" s="7"/>
      <c r="M86" s="7">
        <v>20000</v>
      </c>
      <c r="N86" s="7">
        <v>0</v>
      </c>
      <c r="O86" s="7">
        <f>SUM(P86:R86)</f>
        <v>9544.1116099999999</v>
      </c>
      <c r="P86" s="7"/>
      <c r="Q86" s="35">
        <f>9544111.61/1000</f>
        <v>9544.1116099999999</v>
      </c>
      <c r="R86" s="7"/>
      <c r="S86" s="7">
        <f>SUM(T86:V86)</f>
        <v>9544.1116099999999</v>
      </c>
      <c r="T86" s="7">
        <f>P86</f>
        <v>0</v>
      </c>
      <c r="U86" s="7">
        <f>9544111.61/1000</f>
        <v>9544.1116099999999</v>
      </c>
      <c r="V86" s="7"/>
      <c r="W86" s="22">
        <f t="shared" si="27"/>
        <v>47.720558050000001</v>
      </c>
      <c r="X86" s="44"/>
      <c r="Y86" s="48">
        <f t="shared" si="28"/>
        <v>0</v>
      </c>
      <c r="Z86" s="48"/>
      <c r="AA86" s="45"/>
      <c r="AB86" s="45"/>
      <c r="AC86" s="45"/>
    </row>
    <row r="87" spans="1:29" ht="40.5" hidden="1" customHeight="1" x14ac:dyDescent="0.2">
      <c r="A87" s="26" t="s">
        <v>82</v>
      </c>
      <c r="B87" s="28" t="s">
        <v>229</v>
      </c>
      <c r="C87" s="31"/>
      <c r="D87" s="31"/>
      <c r="E87" s="31"/>
      <c r="F87" s="31"/>
      <c r="G87" s="10">
        <f t="shared" si="26"/>
        <v>0</v>
      </c>
      <c r="H87" s="7"/>
      <c r="I87" s="10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2"/>
      <c r="X87" s="44"/>
      <c r="Y87" s="48"/>
      <c r="Z87" s="48"/>
      <c r="AA87" s="45"/>
      <c r="AB87" s="45"/>
      <c r="AC87" s="45"/>
    </row>
    <row r="88" spans="1:29" ht="67.5" customHeight="1" x14ac:dyDescent="0.2">
      <c r="A88" s="26" t="s">
        <v>245</v>
      </c>
      <c r="B88" s="28" t="s">
        <v>257</v>
      </c>
      <c r="C88" s="31" t="s">
        <v>258</v>
      </c>
      <c r="D88" s="31" t="s">
        <v>258</v>
      </c>
      <c r="E88" s="31"/>
      <c r="F88" s="31" t="s">
        <v>241</v>
      </c>
      <c r="G88" s="41">
        <f t="shared" si="26"/>
        <v>163723.20000000001</v>
      </c>
      <c r="H88" s="35">
        <v>163723.20000000001</v>
      </c>
      <c r="I88" s="10"/>
      <c r="J88" s="7"/>
      <c r="K88" s="7">
        <f t="shared" si="29"/>
        <v>163723.20000000001</v>
      </c>
      <c r="L88" s="7">
        <v>163723.20000000001</v>
      </c>
      <c r="M88" s="7"/>
      <c r="N88" s="7"/>
      <c r="O88" s="7">
        <f>SUM(P88:R88)</f>
        <v>0</v>
      </c>
      <c r="P88" s="7">
        <v>0</v>
      </c>
      <c r="Q88" s="7">
        <v>0</v>
      </c>
      <c r="R88" s="7">
        <v>0</v>
      </c>
      <c r="S88" s="7">
        <f>SUM(T88:V88)</f>
        <v>0</v>
      </c>
      <c r="T88" s="7"/>
      <c r="U88" s="7"/>
      <c r="V88" s="7"/>
      <c r="W88" s="22">
        <f t="shared" si="27"/>
        <v>0</v>
      </c>
      <c r="X88" s="44"/>
      <c r="Y88" s="48">
        <f t="shared" si="28"/>
        <v>0</v>
      </c>
      <c r="Z88" s="48"/>
      <c r="AA88" s="45"/>
      <c r="AB88" s="45"/>
      <c r="AC88" s="45"/>
    </row>
    <row r="89" spans="1:29" ht="40.5" customHeight="1" x14ac:dyDescent="0.2">
      <c r="A89" s="25">
        <v>4</v>
      </c>
      <c r="B89" s="25" t="s">
        <v>230</v>
      </c>
      <c r="C89" s="32"/>
      <c r="D89" s="32"/>
      <c r="E89" s="32"/>
      <c r="F89" s="32"/>
      <c r="G89" s="14">
        <f t="shared" si="26"/>
        <v>3291</v>
      </c>
      <c r="H89" s="14">
        <f>H90+H92</f>
        <v>0</v>
      </c>
      <c r="I89" s="14">
        <f>I90+I92</f>
        <v>3291</v>
      </c>
      <c r="J89" s="14">
        <f>J90+J92</f>
        <v>0</v>
      </c>
      <c r="K89" s="14">
        <f>L89+M89+N89</f>
        <v>2791</v>
      </c>
      <c r="L89" s="14">
        <f>L90+L92</f>
        <v>0</v>
      </c>
      <c r="M89" s="14">
        <f>M90+M92</f>
        <v>2791</v>
      </c>
      <c r="N89" s="14">
        <f>N90+N92</f>
        <v>0</v>
      </c>
      <c r="O89" s="14">
        <f>P89+Q89+R89</f>
        <v>0</v>
      </c>
      <c r="P89" s="14">
        <f>P90+P92</f>
        <v>0</v>
      </c>
      <c r="Q89" s="14">
        <f>Q90+Q92</f>
        <v>0</v>
      </c>
      <c r="R89" s="14">
        <f>R90+R92</f>
        <v>0</v>
      </c>
      <c r="S89" s="14">
        <f t="shared" ref="S89:S96" si="30">T89+U89+V89</f>
        <v>0</v>
      </c>
      <c r="T89" s="14">
        <f>T90+T92</f>
        <v>0</v>
      </c>
      <c r="U89" s="14">
        <f>U90+U92</f>
        <v>0</v>
      </c>
      <c r="V89" s="14">
        <f>V90+V92</f>
        <v>0</v>
      </c>
      <c r="W89" s="22">
        <f t="shared" si="27"/>
        <v>0</v>
      </c>
      <c r="X89" s="44"/>
      <c r="Y89" s="48">
        <f t="shared" si="28"/>
        <v>0</v>
      </c>
      <c r="Z89" s="48"/>
      <c r="AA89" s="45"/>
      <c r="AB89" s="45"/>
      <c r="AC89" s="45"/>
    </row>
    <row r="90" spans="1:29" ht="39.75" customHeight="1" x14ac:dyDescent="0.2">
      <c r="A90" s="122" t="s">
        <v>31</v>
      </c>
      <c r="B90" s="100" t="s">
        <v>285</v>
      </c>
      <c r="C90" s="31" t="s">
        <v>202</v>
      </c>
      <c r="D90" s="31"/>
      <c r="E90" s="31"/>
      <c r="F90" s="31" t="s">
        <v>56</v>
      </c>
      <c r="G90" s="10">
        <f t="shared" si="26"/>
        <v>2091</v>
      </c>
      <c r="H90" s="7">
        <v>0</v>
      </c>
      <c r="I90" s="7">
        <v>2091</v>
      </c>
      <c r="J90" s="9">
        <v>0</v>
      </c>
      <c r="K90" s="7">
        <f t="shared" si="29"/>
        <v>2091</v>
      </c>
      <c r="L90" s="7">
        <v>0</v>
      </c>
      <c r="M90" s="7">
        <v>2091</v>
      </c>
      <c r="N90" s="7">
        <v>0</v>
      </c>
      <c r="O90" s="7">
        <f>P90+Q90+R90</f>
        <v>0</v>
      </c>
      <c r="P90" s="7">
        <v>0</v>
      </c>
      <c r="Q90" s="7">
        <v>0</v>
      </c>
      <c r="R90" s="7">
        <v>0</v>
      </c>
      <c r="S90" s="7">
        <f t="shared" si="30"/>
        <v>0</v>
      </c>
      <c r="T90" s="7"/>
      <c r="U90" s="7">
        <v>0</v>
      </c>
      <c r="V90" s="7"/>
      <c r="W90" s="22">
        <f t="shared" si="27"/>
        <v>0</v>
      </c>
      <c r="X90" s="44"/>
      <c r="Y90" s="48">
        <f t="shared" si="28"/>
        <v>0</v>
      </c>
      <c r="Z90" s="48"/>
      <c r="AA90" s="45"/>
      <c r="AB90" s="45"/>
      <c r="AC90" s="45"/>
    </row>
    <row r="91" spans="1:29" ht="19.5" customHeight="1" x14ac:dyDescent="0.2">
      <c r="A91" s="123"/>
      <c r="B91" s="101"/>
      <c r="C91" s="31" t="s">
        <v>88</v>
      </c>
      <c r="D91" s="31"/>
      <c r="E91" s="31"/>
      <c r="F91" s="31" t="s">
        <v>64</v>
      </c>
      <c r="G91" s="10">
        <f t="shared" si="26"/>
        <v>0</v>
      </c>
      <c r="H91" s="7">
        <v>0</v>
      </c>
      <c r="I91" s="7"/>
      <c r="J91" s="9"/>
      <c r="K91" s="7">
        <f t="shared" si="29"/>
        <v>0</v>
      </c>
      <c r="L91" s="7"/>
      <c r="M91" s="7"/>
      <c r="N91" s="7"/>
      <c r="O91" s="7">
        <f>P91+Q91+R91</f>
        <v>0</v>
      </c>
      <c r="P91" s="7"/>
      <c r="Q91" s="7">
        <f>U91</f>
        <v>0</v>
      </c>
      <c r="R91" s="7"/>
      <c r="S91" s="7">
        <f t="shared" si="30"/>
        <v>0</v>
      </c>
      <c r="T91" s="7"/>
      <c r="U91" s="7">
        <v>0</v>
      </c>
      <c r="V91" s="7"/>
      <c r="W91" s="22" t="e">
        <f t="shared" si="27"/>
        <v>#DIV/0!</v>
      </c>
      <c r="X91" s="44"/>
      <c r="Y91" s="48">
        <f t="shared" si="28"/>
        <v>0</v>
      </c>
      <c r="Z91" s="48"/>
      <c r="AA91" s="45"/>
      <c r="AB91" s="45"/>
      <c r="AC91" s="45"/>
    </row>
    <row r="92" spans="1:29" s="45" customFormat="1" ht="35.25" customHeight="1" x14ac:dyDescent="0.2">
      <c r="A92" s="26" t="s">
        <v>57</v>
      </c>
      <c r="B92" s="28" t="s">
        <v>101</v>
      </c>
      <c r="C92" s="26" t="s">
        <v>224</v>
      </c>
      <c r="D92" s="26"/>
      <c r="E92" s="26"/>
      <c r="F92" s="26" t="s">
        <v>176</v>
      </c>
      <c r="G92" s="41">
        <f t="shared" si="26"/>
        <v>1200</v>
      </c>
      <c r="H92" s="35"/>
      <c r="I92" s="35">
        <v>1200</v>
      </c>
      <c r="J92" s="69"/>
      <c r="K92" s="35">
        <f>L92+M92+N92</f>
        <v>700</v>
      </c>
      <c r="L92" s="35"/>
      <c r="M92" s="35">
        <v>700</v>
      </c>
      <c r="N92" s="35"/>
      <c r="O92" s="35">
        <f>P92+Q92+R92</f>
        <v>0</v>
      </c>
      <c r="P92" s="35"/>
      <c r="Q92" s="35">
        <v>0</v>
      </c>
      <c r="R92" s="35"/>
      <c r="S92" s="35">
        <f t="shared" si="30"/>
        <v>0</v>
      </c>
      <c r="T92" s="35"/>
      <c r="U92" s="35">
        <v>0</v>
      </c>
      <c r="V92" s="35"/>
      <c r="W92" s="22">
        <f>S92*100/K92</f>
        <v>0</v>
      </c>
      <c r="X92" s="46"/>
      <c r="Y92" s="48">
        <f>O92-S92</f>
        <v>0</v>
      </c>
      <c r="Z92" s="48"/>
    </row>
    <row r="93" spans="1:29" ht="40.5" customHeight="1" x14ac:dyDescent="0.2">
      <c r="A93" s="25">
        <v>5</v>
      </c>
      <c r="B93" s="25" t="s">
        <v>259</v>
      </c>
      <c r="C93" s="32"/>
      <c r="D93" s="32"/>
      <c r="E93" s="32"/>
      <c r="F93" s="32"/>
      <c r="G93" s="14">
        <f t="shared" si="26"/>
        <v>18000</v>
      </c>
      <c r="H93" s="14">
        <f>H94</f>
        <v>0</v>
      </c>
      <c r="I93" s="14">
        <f>I94</f>
        <v>18000</v>
      </c>
      <c r="J93" s="14">
        <f>J94</f>
        <v>0</v>
      </c>
      <c r="K93" s="14">
        <f>L93+M93+N93</f>
        <v>18000</v>
      </c>
      <c r="L93" s="14">
        <f>L94</f>
        <v>0</v>
      </c>
      <c r="M93" s="14">
        <f>M94</f>
        <v>18000</v>
      </c>
      <c r="N93" s="14">
        <f>N94</f>
        <v>0</v>
      </c>
      <c r="O93" s="14">
        <f>P93+Q93+R93</f>
        <v>0</v>
      </c>
      <c r="P93" s="14">
        <f>P94</f>
        <v>0</v>
      </c>
      <c r="Q93" s="14">
        <f>Q94</f>
        <v>0</v>
      </c>
      <c r="R93" s="14">
        <f>R94</f>
        <v>0</v>
      </c>
      <c r="S93" s="14">
        <f t="shared" si="30"/>
        <v>0</v>
      </c>
      <c r="T93" s="14">
        <f>T94</f>
        <v>0</v>
      </c>
      <c r="U93" s="14">
        <f>U94</f>
        <v>0</v>
      </c>
      <c r="V93" s="14">
        <f>V94</f>
        <v>0</v>
      </c>
      <c r="W93" s="22">
        <f>S93*100/K93</f>
        <v>0</v>
      </c>
      <c r="X93" s="44"/>
      <c r="Y93" s="48">
        <f>O93-S93</f>
        <v>0</v>
      </c>
      <c r="Z93" s="48"/>
      <c r="AA93" s="45"/>
      <c r="AB93" s="45"/>
      <c r="AC93" s="45"/>
    </row>
    <row r="94" spans="1:29" ht="54" customHeight="1" x14ac:dyDescent="0.2">
      <c r="A94" s="75" t="s">
        <v>41</v>
      </c>
      <c r="B94" s="76" t="s">
        <v>286</v>
      </c>
      <c r="C94" s="31" t="s">
        <v>260</v>
      </c>
      <c r="D94" s="31"/>
      <c r="E94" s="31"/>
      <c r="F94" s="31" t="s">
        <v>65</v>
      </c>
      <c r="G94" s="41">
        <f t="shared" si="26"/>
        <v>18000</v>
      </c>
      <c r="H94" s="7"/>
      <c r="I94" s="7">
        <v>18000</v>
      </c>
      <c r="J94" s="9"/>
      <c r="K94" s="35">
        <f>L94+M94+N94</f>
        <v>18000</v>
      </c>
      <c r="L94" s="7"/>
      <c r="M94" s="7">
        <v>18000</v>
      </c>
      <c r="N94" s="7"/>
      <c r="O94" s="7"/>
      <c r="P94" s="7"/>
      <c r="Q94" s="7">
        <v>0</v>
      </c>
      <c r="R94" s="7"/>
      <c r="S94" s="35">
        <f t="shared" si="30"/>
        <v>0</v>
      </c>
      <c r="T94" s="7"/>
      <c r="U94" s="7">
        <v>0</v>
      </c>
      <c r="V94" s="7"/>
      <c r="W94" s="22"/>
      <c r="X94" s="44"/>
      <c r="Y94" s="48"/>
      <c r="Z94" s="48"/>
      <c r="AA94" s="45"/>
      <c r="AB94" s="45"/>
      <c r="AC94" s="45"/>
    </row>
    <row r="95" spans="1:29" ht="40.5" customHeight="1" x14ac:dyDescent="0.2">
      <c r="A95" s="25">
        <v>6</v>
      </c>
      <c r="B95" s="25" t="s">
        <v>261</v>
      </c>
      <c r="C95" s="32"/>
      <c r="D95" s="32"/>
      <c r="E95" s="32"/>
      <c r="F95" s="32"/>
      <c r="G95" s="14">
        <f t="shared" si="26"/>
        <v>6000</v>
      </c>
      <c r="H95" s="14">
        <f>H96</f>
        <v>5520</v>
      </c>
      <c r="I95" s="14">
        <f>I96</f>
        <v>480</v>
      </c>
      <c r="J95" s="14">
        <f>J96</f>
        <v>0</v>
      </c>
      <c r="K95" s="14">
        <f>L95+M95+N95</f>
        <v>6000</v>
      </c>
      <c r="L95" s="14">
        <f>L96</f>
        <v>5520</v>
      </c>
      <c r="M95" s="14">
        <f>M96</f>
        <v>480</v>
      </c>
      <c r="N95" s="14">
        <f>N96</f>
        <v>0</v>
      </c>
      <c r="O95" s="14">
        <f>P95+Q95+R95</f>
        <v>6000</v>
      </c>
      <c r="P95" s="14">
        <f>P96</f>
        <v>5520</v>
      </c>
      <c r="Q95" s="14">
        <f>Q96</f>
        <v>480</v>
      </c>
      <c r="R95" s="14">
        <f>R96</f>
        <v>0</v>
      </c>
      <c r="S95" s="14">
        <f t="shared" si="30"/>
        <v>6000</v>
      </c>
      <c r="T95" s="14">
        <f>T96</f>
        <v>5520</v>
      </c>
      <c r="U95" s="14">
        <f>U96</f>
        <v>480</v>
      </c>
      <c r="V95" s="14">
        <f>V96</f>
        <v>0</v>
      </c>
      <c r="W95" s="22">
        <f>S95*100/K95</f>
        <v>100</v>
      </c>
      <c r="X95" s="44"/>
      <c r="Y95" s="48">
        <f>O95-S95</f>
        <v>0</v>
      </c>
      <c r="Z95" s="48"/>
      <c r="AA95" s="45"/>
      <c r="AB95" s="45"/>
      <c r="AC95" s="45"/>
    </row>
    <row r="96" spans="1:29" ht="81.75" customHeight="1" x14ac:dyDescent="0.2">
      <c r="A96" s="75" t="s">
        <v>42</v>
      </c>
      <c r="B96" s="76" t="s">
        <v>287</v>
      </c>
      <c r="C96" s="31" t="s">
        <v>262</v>
      </c>
      <c r="D96" s="31" t="s">
        <v>262</v>
      </c>
      <c r="E96" s="31"/>
      <c r="F96" s="31" t="s">
        <v>65</v>
      </c>
      <c r="G96" s="41">
        <f t="shared" si="26"/>
        <v>6000</v>
      </c>
      <c r="H96" s="7">
        <v>5520</v>
      </c>
      <c r="I96" s="7">
        <v>480</v>
      </c>
      <c r="J96" s="9"/>
      <c r="K96" s="35">
        <f>L96+M96+N96</f>
        <v>6000</v>
      </c>
      <c r="L96" s="7">
        <v>5520</v>
      </c>
      <c r="M96" s="7">
        <v>480</v>
      </c>
      <c r="N96" s="7"/>
      <c r="O96" s="35">
        <f>P96+Q96+R96</f>
        <v>6000</v>
      </c>
      <c r="P96" s="35">
        <f>5520000/1000</f>
        <v>5520</v>
      </c>
      <c r="Q96" s="35">
        <v>480</v>
      </c>
      <c r="R96" s="7"/>
      <c r="S96" s="35">
        <f t="shared" si="30"/>
        <v>6000</v>
      </c>
      <c r="T96" s="35">
        <f>5520000/1000</f>
        <v>5520</v>
      </c>
      <c r="U96" s="35">
        <v>480</v>
      </c>
      <c r="V96" s="7"/>
      <c r="W96" s="22"/>
      <c r="X96" s="44"/>
      <c r="Y96" s="48"/>
      <c r="Z96" s="48"/>
      <c r="AA96" s="45"/>
      <c r="AB96" s="45"/>
      <c r="AC96" s="45"/>
    </row>
    <row r="97" spans="1:29" ht="19.5" hidden="1" customHeight="1" x14ac:dyDescent="0.2">
      <c r="A97" s="75"/>
      <c r="B97" s="74"/>
      <c r="C97" s="31"/>
      <c r="D97" s="31"/>
      <c r="E97" s="31"/>
      <c r="F97" s="31"/>
      <c r="G97" s="10"/>
      <c r="H97" s="7"/>
      <c r="I97" s="7"/>
      <c r="J97" s="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2"/>
      <c r="X97" s="44"/>
      <c r="Y97" s="48"/>
      <c r="Z97" s="48"/>
      <c r="AA97" s="45"/>
      <c r="AB97" s="45"/>
      <c r="AC97" s="45"/>
    </row>
    <row r="98" spans="1:29" ht="19.5" hidden="1" customHeight="1" x14ac:dyDescent="0.2">
      <c r="A98" s="75"/>
      <c r="B98" s="74"/>
      <c r="C98" s="31"/>
      <c r="D98" s="31"/>
      <c r="E98" s="31"/>
      <c r="F98" s="31"/>
      <c r="G98" s="10"/>
      <c r="H98" s="7"/>
      <c r="I98" s="7"/>
      <c r="J98" s="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22"/>
      <c r="X98" s="44"/>
      <c r="Y98" s="48"/>
      <c r="Z98" s="48"/>
      <c r="AA98" s="45"/>
      <c r="AB98" s="45"/>
      <c r="AC98" s="45"/>
    </row>
    <row r="99" spans="1:29" ht="19.5" hidden="1" customHeight="1" x14ac:dyDescent="0.2">
      <c r="A99" s="75"/>
      <c r="B99" s="74"/>
      <c r="C99" s="31"/>
      <c r="D99" s="31"/>
      <c r="E99" s="31"/>
      <c r="F99" s="31"/>
      <c r="G99" s="10"/>
      <c r="H99" s="7"/>
      <c r="I99" s="7"/>
      <c r="J99" s="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22"/>
      <c r="X99" s="44"/>
      <c r="Y99" s="48"/>
      <c r="Z99" s="48"/>
      <c r="AA99" s="45"/>
      <c r="AB99" s="45"/>
      <c r="AC99" s="45"/>
    </row>
    <row r="100" spans="1:29" ht="19.5" hidden="1" customHeight="1" x14ac:dyDescent="0.2">
      <c r="A100" s="75"/>
      <c r="B100" s="74"/>
      <c r="C100" s="31"/>
      <c r="D100" s="31"/>
      <c r="E100" s="31"/>
      <c r="F100" s="31"/>
      <c r="G100" s="10"/>
      <c r="H100" s="7"/>
      <c r="I100" s="7"/>
      <c r="J100" s="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22"/>
      <c r="X100" s="44"/>
      <c r="Y100" s="48"/>
      <c r="Z100" s="48"/>
      <c r="AA100" s="45"/>
      <c r="AB100" s="45"/>
      <c r="AC100" s="45"/>
    </row>
    <row r="101" spans="1:29" s="45" customFormat="1" ht="35.25" hidden="1" customHeight="1" x14ac:dyDescent="0.2">
      <c r="A101" s="26"/>
      <c r="B101" s="28"/>
      <c r="C101" s="26"/>
      <c r="D101" s="26"/>
      <c r="E101" s="26"/>
      <c r="F101" s="26"/>
      <c r="G101" s="41"/>
      <c r="H101" s="35"/>
      <c r="I101" s="35"/>
      <c r="J101" s="69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22"/>
      <c r="X101" s="46"/>
      <c r="Y101" s="48"/>
      <c r="Z101" s="48"/>
    </row>
    <row r="102" spans="1:29" ht="37.5" customHeight="1" x14ac:dyDescent="0.2">
      <c r="A102" s="109" t="s">
        <v>151</v>
      </c>
      <c r="B102" s="109"/>
      <c r="C102" s="30"/>
      <c r="D102" s="30"/>
      <c r="E102" s="30"/>
      <c r="F102" s="30"/>
      <c r="G102" s="15">
        <f t="shared" ref="G102:G113" si="31">H102+I102+J102</f>
        <v>29400</v>
      </c>
      <c r="H102" s="15">
        <f>H103+H109+H113+H117+H119+H122</f>
        <v>0</v>
      </c>
      <c r="I102" s="15">
        <f>I103+I109+I113+I117+I119+I122</f>
        <v>29400</v>
      </c>
      <c r="J102" s="15">
        <f>J103+J109+J113+J117+J119+J122</f>
        <v>0</v>
      </c>
      <c r="K102" s="15">
        <f>L102+M102+N102</f>
        <v>22473.4</v>
      </c>
      <c r="L102" s="15">
        <f>L103+L109+L113+L117+L119+L122</f>
        <v>0</v>
      </c>
      <c r="M102" s="15">
        <f>M103+M109+M113+M117+M119+M122</f>
        <v>22473.4</v>
      </c>
      <c r="N102" s="15">
        <f>N103+N109+N113+N117+N119+N122</f>
        <v>0</v>
      </c>
      <c r="O102" s="15">
        <f>P102+Q102+R102</f>
        <v>12938.527090000001</v>
      </c>
      <c r="P102" s="15">
        <f>P103+P109+P113+P117+P119+P122</f>
        <v>0</v>
      </c>
      <c r="Q102" s="15">
        <f>Q103+Q109+Q113+Q117+Q119+Q122</f>
        <v>12938.527090000001</v>
      </c>
      <c r="R102" s="15">
        <f>R103+R109+R113+R117+R119+R122</f>
        <v>0</v>
      </c>
      <c r="S102" s="15">
        <f>T102+U102+V102</f>
        <v>12938.034090000001</v>
      </c>
      <c r="T102" s="15">
        <f>T103+T109+T113+T117+T119+T122</f>
        <v>0</v>
      </c>
      <c r="U102" s="15">
        <f>U103+U109+U113+U117+U119+U122</f>
        <v>12938.034090000001</v>
      </c>
      <c r="V102" s="15">
        <f>V103+V109+V113+V117+V119+V122</f>
        <v>0</v>
      </c>
      <c r="W102" s="22">
        <f t="shared" si="27"/>
        <v>57.570434780674034</v>
      </c>
      <c r="X102" s="44"/>
      <c r="Y102" s="48">
        <f t="shared" si="28"/>
        <v>0.4930000000003929</v>
      </c>
      <c r="Z102" s="48"/>
      <c r="AA102" s="45"/>
      <c r="AB102" s="45"/>
      <c r="AC102" s="45"/>
    </row>
    <row r="103" spans="1:29" ht="50.25" customHeight="1" x14ac:dyDescent="0.2">
      <c r="A103" s="25">
        <v>1</v>
      </c>
      <c r="B103" s="25" t="s">
        <v>20</v>
      </c>
      <c r="C103" s="32"/>
      <c r="D103" s="32"/>
      <c r="E103" s="32"/>
      <c r="F103" s="32"/>
      <c r="G103" s="14">
        <f t="shared" si="31"/>
        <v>450</v>
      </c>
      <c r="H103" s="14">
        <f>SUM(H104:H108)</f>
        <v>0</v>
      </c>
      <c r="I103" s="14">
        <f>SUM(I104:I108)</f>
        <v>450</v>
      </c>
      <c r="J103" s="14">
        <f>SUM(J104:J108)</f>
        <v>0</v>
      </c>
      <c r="K103" s="14">
        <f>L103+M103+N103</f>
        <v>450</v>
      </c>
      <c r="L103" s="14">
        <f>SUM(L104:L108)</f>
        <v>0</v>
      </c>
      <c r="M103" s="14">
        <f>SUM(M104:M108)</f>
        <v>450</v>
      </c>
      <c r="N103" s="14">
        <f>SUM(N104:N108)</f>
        <v>0</v>
      </c>
      <c r="O103" s="14">
        <f>P103+Q103+R103</f>
        <v>0</v>
      </c>
      <c r="P103" s="14">
        <f>SUM(P104:P108)</f>
        <v>0</v>
      </c>
      <c r="Q103" s="14">
        <f>SUM(Q104:Q108)</f>
        <v>0</v>
      </c>
      <c r="R103" s="14">
        <f>SUM(R104:R108)</f>
        <v>0</v>
      </c>
      <c r="S103" s="14">
        <f>T103+U103+V103</f>
        <v>0</v>
      </c>
      <c r="T103" s="14">
        <f>SUM(T104:T108)</f>
        <v>0</v>
      </c>
      <c r="U103" s="14">
        <f>SUM(U104:U108)</f>
        <v>0</v>
      </c>
      <c r="V103" s="14">
        <f>SUM(V104:V108)</f>
        <v>0</v>
      </c>
      <c r="W103" s="22">
        <f t="shared" si="27"/>
        <v>0</v>
      </c>
      <c r="X103" s="44"/>
      <c r="Y103" s="48">
        <f t="shared" si="28"/>
        <v>0</v>
      </c>
      <c r="Z103" s="48"/>
      <c r="AA103" s="45"/>
      <c r="AB103" s="45"/>
      <c r="AC103" s="45"/>
    </row>
    <row r="104" spans="1:29" ht="17.25" customHeight="1" x14ac:dyDescent="0.2">
      <c r="A104" s="122" t="s">
        <v>26</v>
      </c>
      <c r="B104" s="100" t="s">
        <v>152</v>
      </c>
      <c r="C104" s="31" t="s">
        <v>203</v>
      </c>
      <c r="D104" s="31"/>
      <c r="E104" s="31"/>
      <c r="F104" s="31" t="s">
        <v>176</v>
      </c>
      <c r="G104" s="10">
        <f t="shared" si="31"/>
        <v>150</v>
      </c>
      <c r="H104" s="7">
        <v>0</v>
      </c>
      <c r="I104" s="10">
        <v>150</v>
      </c>
      <c r="J104" s="7">
        <v>0</v>
      </c>
      <c r="K104" s="7">
        <f>SUM(L104:N104)</f>
        <v>150</v>
      </c>
      <c r="L104" s="7"/>
      <c r="M104" s="10">
        <v>150</v>
      </c>
      <c r="N104" s="7"/>
      <c r="O104" s="7">
        <f>SUM(P104:R104)</f>
        <v>0</v>
      </c>
      <c r="P104" s="7"/>
      <c r="Q104" s="35">
        <v>0</v>
      </c>
      <c r="R104" s="7"/>
      <c r="S104" s="7">
        <f>SUM(T104:V104)</f>
        <v>0</v>
      </c>
      <c r="T104" s="7"/>
      <c r="U104" s="7">
        <v>0</v>
      </c>
      <c r="V104" s="7"/>
      <c r="W104" s="22">
        <f t="shared" si="27"/>
        <v>0</v>
      </c>
      <c r="X104" s="44"/>
      <c r="Y104" s="48">
        <f t="shared" si="28"/>
        <v>0</v>
      </c>
      <c r="Z104" s="48"/>
      <c r="AA104" s="45"/>
      <c r="AB104" s="45"/>
      <c r="AC104" s="45"/>
    </row>
    <row r="105" spans="1:29" ht="22.5" customHeight="1" x14ac:dyDescent="0.2">
      <c r="A105" s="127"/>
      <c r="B105" s="131"/>
      <c r="C105" s="31" t="s">
        <v>203</v>
      </c>
      <c r="D105" s="31"/>
      <c r="E105" s="31"/>
      <c r="F105" s="31" t="s">
        <v>67</v>
      </c>
      <c r="G105" s="10">
        <f t="shared" si="31"/>
        <v>300</v>
      </c>
      <c r="H105" s="7">
        <v>0</v>
      </c>
      <c r="I105" s="10">
        <v>300</v>
      </c>
      <c r="J105" s="7">
        <v>0</v>
      </c>
      <c r="K105" s="7">
        <f>SUM(L105:N105)</f>
        <v>300</v>
      </c>
      <c r="L105" s="7"/>
      <c r="M105" s="10">
        <v>300</v>
      </c>
      <c r="N105" s="7"/>
      <c r="O105" s="7">
        <f>SUM(P105:R105)</f>
        <v>0</v>
      </c>
      <c r="P105" s="7"/>
      <c r="Q105" s="35">
        <v>0</v>
      </c>
      <c r="R105" s="7"/>
      <c r="S105" s="7">
        <f>SUM(T105:V105)</f>
        <v>0</v>
      </c>
      <c r="T105" s="7"/>
      <c r="U105" s="7">
        <v>0</v>
      </c>
      <c r="V105" s="7"/>
      <c r="W105" s="22">
        <f t="shared" si="27"/>
        <v>0</v>
      </c>
      <c r="X105" s="44"/>
      <c r="Y105" s="48">
        <f t="shared" si="28"/>
        <v>0</v>
      </c>
      <c r="Z105" s="48"/>
      <c r="AA105" s="45"/>
      <c r="AB105" s="45"/>
      <c r="AC105" s="45"/>
    </row>
    <row r="106" spans="1:29" ht="15.75" hidden="1" customHeight="1" x14ac:dyDescent="0.2">
      <c r="A106" s="127"/>
      <c r="B106" s="131"/>
      <c r="C106" s="31" t="s">
        <v>203</v>
      </c>
      <c r="D106" s="31"/>
      <c r="E106" s="31"/>
      <c r="F106" s="31" t="s">
        <v>66</v>
      </c>
      <c r="G106" s="10">
        <f t="shared" si="31"/>
        <v>0</v>
      </c>
      <c r="H106" s="7">
        <v>0</v>
      </c>
      <c r="I106" s="10"/>
      <c r="J106" s="7">
        <v>0</v>
      </c>
      <c r="K106" s="7">
        <f>SUM(L106:N106)</f>
        <v>0</v>
      </c>
      <c r="L106" s="7"/>
      <c r="M106" s="10"/>
      <c r="N106" s="7"/>
      <c r="O106" s="7">
        <f>SUM(P106:R106)</f>
        <v>0</v>
      </c>
      <c r="P106" s="7"/>
      <c r="Q106" s="35"/>
      <c r="R106" s="7"/>
      <c r="S106" s="7">
        <f>SUM(T106:V106)</f>
        <v>0</v>
      </c>
      <c r="T106" s="7"/>
      <c r="U106" s="7">
        <f>Q106</f>
        <v>0</v>
      </c>
      <c r="V106" s="7"/>
      <c r="W106" s="22" t="e">
        <f t="shared" si="27"/>
        <v>#DIV/0!</v>
      </c>
      <c r="X106" s="44"/>
      <c r="Y106" s="48">
        <f t="shared" si="28"/>
        <v>0</v>
      </c>
      <c r="Z106" s="48"/>
      <c r="AA106" s="45"/>
      <c r="AB106" s="45"/>
      <c r="AC106" s="45"/>
    </row>
    <row r="107" spans="1:29" ht="15.75" hidden="1" customHeight="1" x14ac:dyDescent="0.2">
      <c r="A107" s="127"/>
      <c r="B107" s="131"/>
      <c r="C107" s="31" t="s">
        <v>203</v>
      </c>
      <c r="D107" s="31"/>
      <c r="E107" s="31"/>
      <c r="F107" s="31" t="s">
        <v>63</v>
      </c>
      <c r="G107" s="10">
        <f t="shared" si="31"/>
        <v>0</v>
      </c>
      <c r="H107" s="7"/>
      <c r="I107" s="10"/>
      <c r="J107" s="7"/>
      <c r="K107" s="7">
        <f>SUM(L107:N107)</f>
        <v>0</v>
      </c>
      <c r="L107" s="7"/>
      <c r="M107" s="10"/>
      <c r="N107" s="7"/>
      <c r="O107" s="7">
        <f>SUM(P107:R107)</f>
        <v>0</v>
      </c>
      <c r="P107" s="7"/>
      <c r="Q107" s="35"/>
      <c r="R107" s="7"/>
      <c r="S107" s="7">
        <f>SUM(T107:V107)</f>
        <v>0</v>
      </c>
      <c r="T107" s="7"/>
      <c r="U107" s="7">
        <f>Q107</f>
        <v>0</v>
      </c>
      <c r="V107" s="7"/>
      <c r="W107" s="22" t="e">
        <f t="shared" si="27"/>
        <v>#DIV/0!</v>
      </c>
      <c r="X107" s="44"/>
      <c r="Y107" s="48">
        <f t="shared" si="28"/>
        <v>0</v>
      </c>
      <c r="Z107" s="48"/>
      <c r="AA107" s="45"/>
      <c r="AB107" s="45"/>
      <c r="AC107" s="45"/>
    </row>
    <row r="108" spans="1:29" ht="15.75" hidden="1" customHeight="1" x14ac:dyDescent="0.2">
      <c r="A108" s="123"/>
      <c r="B108" s="101"/>
      <c r="C108" s="31" t="s">
        <v>203</v>
      </c>
      <c r="D108" s="31"/>
      <c r="E108" s="31"/>
      <c r="F108" s="31" t="s">
        <v>100</v>
      </c>
      <c r="G108" s="10">
        <f t="shared" si="31"/>
        <v>0</v>
      </c>
      <c r="H108" s="7">
        <v>0</v>
      </c>
      <c r="I108" s="10"/>
      <c r="J108" s="7">
        <v>0</v>
      </c>
      <c r="K108" s="7">
        <f>SUM(L108:N108)</f>
        <v>0</v>
      </c>
      <c r="L108" s="7"/>
      <c r="M108" s="10"/>
      <c r="N108" s="7"/>
      <c r="O108" s="7">
        <f>SUM(P108:R108)</f>
        <v>0</v>
      </c>
      <c r="P108" s="7"/>
      <c r="Q108" s="35"/>
      <c r="R108" s="7"/>
      <c r="S108" s="7">
        <f>SUM(T108:V108)</f>
        <v>0</v>
      </c>
      <c r="T108" s="7"/>
      <c r="U108" s="7">
        <f>Q108</f>
        <v>0</v>
      </c>
      <c r="V108" s="7"/>
      <c r="W108" s="22" t="e">
        <f t="shared" si="27"/>
        <v>#DIV/0!</v>
      </c>
      <c r="X108" s="44"/>
      <c r="Y108" s="48">
        <f t="shared" si="28"/>
        <v>0</v>
      </c>
      <c r="Z108" s="48"/>
      <c r="AA108" s="45"/>
      <c r="AB108" s="45"/>
      <c r="AC108" s="45"/>
    </row>
    <row r="109" spans="1:29" ht="52.5" customHeight="1" x14ac:dyDescent="0.2">
      <c r="A109" s="25">
        <v>2</v>
      </c>
      <c r="B109" s="25" t="s">
        <v>89</v>
      </c>
      <c r="C109" s="32"/>
      <c r="D109" s="32"/>
      <c r="E109" s="32"/>
      <c r="F109" s="32"/>
      <c r="G109" s="14">
        <f t="shared" si="31"/>
        <v>4200</v>
      </c>
      <c r="H109" s="14">
        <f>H110+H112+H111</f>
        <v>0</v>
      </c>
      <c r="I109" s="14">
        <f>I110+I112+I111</f>
        <v>4200</v>
      </c>
      <c r="J109" s="14">
        <f>J110+J112+J111</f>
        <v>0</v>
      </c>
      <c r="K109" s="14">
        <f>L109+M109+N109</f>
        <v>3863.4</v>
      </c>
      <c r="L109" s="14">
        <f>L110+L112+L111</f>
        <v>0</v>
      </c>
      <c r="M109" s="14">
        <f>M110+M112+M111</f>
        <v>3863.4</v>
      </c>
      <c r="N109" s="14">
        <f>N110+N112+N111</f>
        <v>0</v>
      </c>
      <c r="O109" s="14">
        <f>P109+Q109+R109</f>
        <v>1357.88132</v>
      </c>
      <c r="P109" s="14">
        <f>P110+P112+P111</f>
        <v>0</v>
      </c>
      <c r="Q109" s="14">
        <f>Q110+Q112+Q111</f>
        <v>1357.88132</v>
      </c>
      <c r="R109" s="14">
        <f>R110+R112+R111</f>
        <v>0</v>
      </c>
      <c r="S109" s="14">
        <f>T109+U109+V109</f>
        <v>1357.38832</v>
      </c>
      <c r="T109" s="14">
        <f>T110+T112+T111</f>
        <v>0</v>
      </c>
      <c r="U109" s="14">
        <f>U110+U112+U111</f>
        <v>1357.38832</v>
      </c>
      <c r="V109" s="14">
        <f>V110+V112+V111</f>
        <v>0</v>
      </c>
      <c r="W109" s="22">
        <f t="shared" si="27"/>
        <v>35.134552984417866</v>
      </c>
      <c r="X109" s="44"/>
      <c r="Y109" s="48">
        <f t="shared" si="28"/>
        <v>0.49299999999993815</v>
      </c>
      <c r="Z109" s="48"/>
      <c r="AA109" s="45"/>
      <c r="AB109" s="45"/>
      <c r="AC109" s="45"/>
    </row>
    <row r="110" spans="1:29" ht="30" customHeight="1" x14ac:dyDescent="0.2">
      <c r="A110" s="128" t="s">
        <v>29</v>
      </c>
      <c r="B110" s="100" t="s">
        <v>153</v>
      </c>
      <c r="C110" s="31" t="s">
        <v>204</v>
      </c>
      <c r="D110" s="31"/>
      <c r="E110" s="31"/>
      <c r="F110" s="31" t="s">
        <v>176</v>
      </c>
      <c r="G110" s="10">
        <f t="shared" si="31"/>
        <v>2200</v>
      </c>
      <c r="H110" s="10"/>
      <c r="I110" s="10">
        <v>2200</v>
      </c>
      <c r="J110" s="10"/>
      <c r="K110" s="10">
        <f>L110+M110+N110</f>
        <v>2200</v>
      </c>
      <c r="L110" s="10"/>
      <c r="M110" s="10">
        <v>2200</v>
      </c>
      <c r="N110" s="10"/>
      <c r="O110" s="7">
        <f>P110+Q110+R110</f>
        <v>642.88131999999996</v>
      </c>
      <c r="P110" s="7"/>
      <c r="Q110" s="35">
        <f>642881.32/1000</f>
        <v>642.88131999999996</v>
      </c>
      <c r="R110" s="7"/>
      <c r="S110" s="7">
        <f>T110+U110+V110</f>
        <v>642.38831999999991</v>
      </c>
      <c r="T110" s="7"/>
      <c r="U110" s="7">
        <f>642388.32/1000</f>
        <v>642.38831999999991</v>
      </c>
      <c r="V110" s="7"/>
      <c r="W110" s="22">
        <f t="shared" si="27"/>
        <v>29.199469090909087</v>
      </c>
      <c r="X110" s="44"/>
      <c r="Y110" s="48">
        <f t="shared" si="28"/>
        <v>0.49300000000005184</v>
      </c>
      <c r="Z110" s="48"/>
      <c r="AA110" s="45"/>
      <c r="AB110" s="45"/>
      <c r="AC110" s="45"/>
    </row>
    <row r="111" spans="1:29" ht="30" customHeight="1" x14ac:dyDescent="0.2">
      <c r="A111" s="130"/>
      <c r="B111" s="131"/>
      <c r="C111" s="31" t="s">
        <v>204</v>
      </c>
      <c r="D111" s="31"/>
      <c r="E111" s="31"/>
      <c r="F111" s="31" t="s">
        <v>56</v>
      </c>
      <c r="G111" s="10">
        <f t="shared" si="31"/>
        <v>500</v>
      </c>
      <c r="H111" s="10"/>
      <c r="I111" s="10">
        <v>500</v>
      </c>
      <c r="J111" s="10"/>
      <c r="K111" s="10"/>
      <c r="L111" s="10"/>
      <c r="M111" s="10">
        <v>500</v>
      </c>
      <c r="N111" s="10"/>
      <c r="O111" s="7"/>
      <c r="P111" s="7"/>
      <c r="Q111" s="35">
        <v>0</v>
      </c>
      <c r="R111" s="7"/>
      <c r="S111" s="7"/>
      <c r="T111" s="7"/>
      <c r="U111" s="7">
        <v>0</v>
      </c>
      <c r="V111" s="7"/>
      <c r="W111" s="22"/>
      <c r="X111" s="44"/>
      <c r="Y111" s="48"/>
      <c r="Z111" s="48"/>
      <c r="AA111" s="45"/>
      <c r="AB111" s="45"/>
      <c r="AC111" s="45"/>
    </row>
    <row r="112" spans="1:29" ht="30" customHeight="1" x14ac:dyDescent="0.2">
      <c r="A112" s="129"/>
      <c r="B112" s="101"/>
      <c r="C112" s="31" t="s">
        <v>204</v>
      </c>
      <c r="D112" s="31"/>
      <c r="E112" s="31"/>
      <c r="F112" s="31" t="s">
        <v>54</v>
      </c>
      <c r="G112" s="16">
        <f t="shared" si="31"/>
        <v>1500</v>
      </c>
      <c r="H112" s="12"/>
      <c r="I112" s="10">
        <v>1500</v>
      </c>
      <c r="J112" s="13"/>
      <c r="K112" s="10">
        <f>L112+M112+N112</f>
        <v>1163.4000000000001</v>
      </c>
      <c r="L112" s="10"/>
      <c r="M112" s="10">
        <v>1163.4000000000001</v>
      </c>
      <c r="N112" s="12"/>
      <c r="O112" s="7">
        <f>SUM(P112:R112)</f>
        <v>715</v>
      </c>
      <c r="P112" s="7"/>
      <c r="Q112" s="35">
        <f>715000/1000</f>
        <v>715</v>
      </c>
      <c r="R112" s="7"/>
      <c r="S112" s="7">
        <f>SUM(T112:V112)</f>
        <v>715</v>
      </c>
      <c r="T112" s="7"/>
      <c r="U112" s="7">
        <f>715000/1000</f>
        <v>715</v>
      </c>
      <c r="V112" s="7"/>
      <c r="W112" s="22">
        <f t="shared" si="27"/>
        <v>61.457796114835823</v>
      </c>
      <c r="X112" s="44"/>
      <c r="Y112" s="48">
        <f t="shared" si="28"/>
        <v>0</v>
      </c>
      <c r="Z112" s="48"/>
      <c r="AA112" s="45"/>
      <c r="AB112" s="45"/>
      <c r="AC112" s="45"/>
    </row>
    <row r="113" spans="1:29" ht="57.75" customHeight="1" x14ac:dyDescent="0.2">
      <c r="A113" s="25">
        <v>3</v>
      </c>
      <c r="B113" s="25" t="s">
        <v>21</v>
      </c>
      <c r="C113" s="32"/>
      <c r="D113" s="32"/>
      <c r="E113" s="32"/>
      <c r="F113" s="32"/>
      <c r="G113" s="14">
        <f t="shared" si="31"/>
        <v>9650</v>
      </c>
      <c r="H113" s="14">
        <f>SUM(H114:H116)</f>
        <v>0</v>
      </c>
      <c r="I113" s="14">
        <f>SUM(I114:I116)</f>
        <v>9650</v>
      </c>
      <c r="J113" s="14">
        <f>SUM(J114:J116)</f>
        <v>0</v>
      </c>
      <c r="K113" s="14">
        <f>L113+M113+N113</f>
        <v>4030</v>
      </c>
      <c r="L113" s="14">
        <f>SUM(L114:L116)</f>
        <v>0</v>
      </c>
      <c r="M113" s="14">
        <f>SUM(M114:M116)</f>
        <v>4030</v>
      </c>
      <c r="N113" s="14">
        <f>SUM(N114:N116)</f>
        <v>0</v>
      </c>
      <c r="O113" s="14">
        <f>P113+Q113+R113</f>
        <v>199.95</v>
      </c>
      <c r="P113" s="14">
        <f>SUM(P114:P116)</f>
        <v>0</v>
      </c>
      <c r="Q113" s="14">
        <f>SUM(Q114:Q116)</f>
        <v>199.95</v>
      </c>
      <c r="R113" s="14">
        <f>SUM(R114:R116)</f>
        <v>0</v>
      </c>
      <c r="S113" s="14">
        <f>T113+U113+V113</f>
        <v>199.95</v>
      </c>
      <c r="T113" s="14">
        <f>SUM(T114:T116)</f>
        <v>0</v>
      </c>
      <c r="U113" s="14">
        <f>SUM(U114:U116)</f>
        <v>199.95</v>
      </c>
      <c r="V113" s="14">
        <f>SUM(V114:V116)</f>
        <v>0</v>
      </c>
      <c r="W113" s="22">
        <f t="shared" si="27"/>
        <v>4.9615384615384617</v>
      </c>
      <c r="X113" s="44"/>
      <c r="Y113" s="48">
        <f t="shared" si="28"/>
        <v>0</v>
      </c>
      <c r="Z113" s="48"/>
      <c r="AA113" s="45"/>
      <c r="AB113" s="45"/>
      <c r="AC113" s="45"/>
    </row>
    <row r="114" spans="1:29" ht="48.75" customHeight="1" x14ac:dyDescent="0.2">
      <c r="A114" s="128" t="s">
        <v>30</v>
      </c>
      <c r="B114" s="100" t="s">
        <v>90</v>
      </c>
      <c r="C114" s="31" t="s">
        <v>205</v>
      </c>
      <c r="D114" s="31"/>
      <c r="E114" s="31"/>
      <c r="F114" s="31" t="s">
        <v>54</v>
      </c>
      <c r="G114" s="10">
        <f t="shared" ref="G114:G134" si="32">H114+I114+J114</f>
        <v>9200</v>
      </c>
      <c r="H114" s="7">
        <v>0</v>
      </c>
      <c r="I114" s="10">
        <v>9200</v>
      </c>
      <c r="J114" s="7">
        <v>0</v>
      </c>
      <c r="K114" s="7">
        <f>SUM(L114:N114)</f>
        <v>3580</v>
      </c>
      <c r="L114" s="7"/>
      <c r="M114" s="10">
        <f>2580+1000</f>
        <v>3580</v>
      </c>
      <c r="N114" s="7"/>
      <c r="O114" s="7">
        <f>SUM(P114:R114)</f>
        <v>199.95</v>
      </c>
      <c r="P114" s="7"/>
      <c r="Q114" s="35">
        <f>199950/1000</f>
        <v>199.95</v>
      </c>
      <c r="R114" s="7"/>
      <c r="S114" s="7">
        <f>SUM(T114:V114)</f>
        <v>199.95</v>
      </c>
      <c r="T114" s="7"/>
      <c r="U114" s="35">
        <f>199950/1000</f>
        <v>199.95</v>
      </c>
      <c r="V114" s="7"/>
      <c r="W114" s="22">
        <f t="shared" si="27"/>
        <v>5.5851955307262573</v>
      </c>
      <c r="X114" s="44"/>
      <c r="Y114" s="48">
        <f t="shared" si="28"/>
        <v>0</v>
      </c>
      <c r="Z114" s="48"/>
      <c r="AA114" s="45"/>
      <c r="AB114" s="45"/>
      <c r="AC114" s="45"/>
    </row>
    <row r="115" spans="1:29" ht="24" hidden="1" customHeight="1" x14ac:dyDescent="0.2">
      <c r="A115" s="129"/>
      <c r="B115" s="101"/>
      <c r="C115" s="31" t="s">
        <v>91</v>
      </c>
      <c r="D115" s="31"/>
      <c r="E115" s="31"/>
      <c r="F115" s="31" t="s">
        <v>56</v>
      </c>
      <c r="G115" s="10">
        <f t="shared" si="32"/>
        <v>0</v>
      </c>
      <c r="H115" s="7"/>
      <c r="I115" s="10"/>
      <c r="J115" s="7"/>
      <c r="K115" s="7">
        <f>SUM(L115:N115)</f>
        <v>0</v>
      </c>
      <c r="L115" s="7"/>
      <c r="M115" s="10"/>
      <c r="N115" s="7"/>
      <c r="O115" s="7">
        <f>SUM(P115:R115)</f>
        <v>0</v>
      </c>
      <c r="P115" s="7"/>
      <c r="Q115" s="7">
        <f>U115</f>
        <v>0</v>
      </c>
      <c r="R115" s="7"/>
      <c r="S115" s="7">
        <f>SUM(T115:V115)</f>
        <v>0</v>
      </c>
      <c r="T115" s="7"/>
      <c r="U115" s="7">
        <v>0</v>
      </c>
      <c r="V115" s="7"/>
      <c r="W115" s="22" t="e">
        <f t="shared" si="27"/>
        <v>#DIV/0!</v>
      </c>
      <c r="X115" s="44"/>
      <c r="Y115" s="48">
        <f t="shared" si="28"/>
        <v>0</v>
      </c>
      <c r="Z115" s="48"/>
      <c r="AA115" s="45"/>
      <c r="AB115" s="45"/>
      <c r="AC115" s="45"/>
    </row>
    <row r="116" spans="1:29" ht="51.75" customHeight="1" x14ac:dyDescent="0.2">
      <c r="A116" s="34" t="s">
        <v>82</v>
      </c>
      <c r="B116" s="77" t="s">
        <v>263</v>
      </c>
      <c r="C116" s="26"/>
      <c r="D116" s="26"/>
      <c r="E116" s="26"/>
      <c r="F116" s="26"/>
      <c r="G116" s="41">
        <f t="shared" si="32"/>
        <v>450</v>
      </c>
      <c r="H116" s="35"/>
      <c r="I116" s="41">
        <v>450</v>
      </c>
      <c r="J116" s="7"/>
      <c r="K116" s="7">
        <f>SUM(L116:N116)</f>
        <v>450</v>
      </c>
      <c r="L116" s="7"/>
      <c r="M116" s="10">
        <v>450</v>
      </c>
      <c r="N116" s="7"/>
      <c r="O116" s="7">
        <f>SUM(P116:R116)</f>
        <v>0</v>
      </c>
      <c r="P116" s="7"/>
      <c r="Q116" s="7"/>
      <c r="R116" s="7"/>
      <c r="S116" s="7">
        <f>SUM(T116:V116)</f>
        <v>0</v>
      </c>
      <c r="T116" s="7"/>
      <c r="U116" s="7"/>
      <c r="V116" s="7"/>
      <c r="W116" s="22">
        <f t="shared" si="27"/>
        <v>0</v>
      </c>
      <c r="X116" s="44"/>
      <c r="Y116" s="48">
        <f t="shared" si="28"/>
        <v>0</v>
      </c>
      <c r="Z116" s="48"/>
      <c r="AA116" s="45"/>
      <c r="AB116" s="45"/>
      <c r="AC116" s="45"/>
    </row>
    <row r="117" spans="1:29" ht="51.75" customHeight="1" x14ac:dyDescent="0.2">
      <c r="A117" s="25">
        <v>4</v>
      </c>
      <c r="B117" s="25" t="s">
        <v>154</v>
      </c>
      <c r="C117" s="32"/>
      <c r="D117" s="32"/>
      <c r="E117" s="32"/>
      <c r="F117" s="32"/>
      <c r="G117" s="14">
        <f>H117+I117+J117</f>
        <v>7000</v>
      </c>
      <c r="H117" s="14">
        <f>H118</f>
        <v>0</v>
      </c>
      <c r="I117" s="14">
        <f>I118</f>
        <v>7000</v>
      </c>
      <c r="J117" s="14">
        <f>J118</f>
        <v>0</v>
      </c>
      <c r="K117" s="14">
        <f>L117+M117+N117</f>
        <v>7000</v>
      </c>
      <c r="L117" s="14">
        <f>L118</f>
        <v>0</v>
      </c>
      <c r="M117" s="14">
        <f>M118</f>
        <v>7000</v>
      </c>
      <c r="N117" s="14">
        <f>N118</f>
        <v>0</v>
      </c>
      <c r="O117" s="14">
        <f>P117+Q117+R117</f>
        <v>5494.4731400000001</v>
      </c>
      <c r="P117" s="14">
        <f>P118</f>
        <v>0</v>
      </c>
      <c r="Q117" s="14">
        <f>Q118</f>
        <v>5494.4731400000001</v>
      </c>
      <c r="R117" s="14">
        <f>R118</f>
        <v>0</v>
      </c>
      <c r="S117" s="14">
        <f>T117+U117+V117</f>
        <v>5494.4731400000001</v>
      </c>
      <c r="T117" s="14">
        <f>T118</f>
        <v>0</v>
      </c>
      <c r="U117" s="14">
        <f>U118</f>
        <v>5494.4731400000001</v>
      </c>
      <c r="V117" s="14">
        <f>V118</f>
        <v>0</v>
      </c>
      <c r="W117" s="22">
        <f t="shared" si="27"/>
        <v>78.492473428571429</v>
      </c>
      <c r="X117" s="44"/>
      <c r="Y117" s="48">
        <f t="shared" si="28"/>
        <v>0</v>
      </c>
      <c r="Z117" s="48"/>
      <c r="AA117" s="45"/>
      <c r="AB117" s="45"/>
      <c r="AC117" s="45"/>
    </row>
    <row r="118" spans="1:29" ht="51.75" customHeight="1" x14ac:dyDescent="0.2">
      <c r="A118" s="26" t="s">
        <v>31</v>
      </c>
      <c r="B118" s="28" t="s">
        <v>92</v>
      </c>
      <c r="C118" s="31" t="s">
        <v>206</v>
      </c>
      <c r="D118" s="31"/>
      <c r="E118" s="31"/>
      <c r="F118" s="31" t="s">
        <v>54</v>
      </c>
      <c r="G118" s="10">
        <f>H118+I118+J118</f>
        <v>7000</v>
      </c>
      <c r="H118" s="10"/>
      <c r="I118" s="10">
        <v>7000</v>
      </c>
      <c r="J118" s="10"/>
      <c r="K118" s="10">
        <f>L118+M118+N118</f>
        <v>7000</v>
      </c>
      <c r="L118" s="10"/>
      <c r="M118" s="10">
        <v>7000</v>
      </c>
      <c r="N118" s="10"/>
      <c r="O118" s="7">
        <f>P118+Q118+R118</f>
        <v>5494.4731400000001</v>
      </c>
      <c r="P118" s="7"/>
      <c r="Q118" s="35">
        <f>5494473.14/1000</f>
        <v>5494.4731400000001</v>
      </c>
      <c r="R118" s="7"/>
      <c r="S118" s="7">
        <f>T118+U118+V118</f>
        <v>5494.4731400000001</v>
      </c>
      <c r="T118" s="7"/>
      <c r="U118" s="7">
        <f>5494473.14/1000</f>
        <v>5494.4731400000001</v>
      </c>
      <c r="V118" s="7"/>
      <c r="W118" s="22">
        <f t="shared" si="27"/>
        <v>78.492473428571429</v>
      </c>
      <c r="X118" s="44"/>
      <c r="Y118" s="48">
        <f t="shared" si="28"/>
        <v>0</v>
      </c>
      <c r="Z118" s="48"/>
      <c r="AA118" s="45"/>
      <c r="AB118" s="45"/>
      <c r="AC118" s="45"/>
    </row>
    <row r="119" spans="1:29" ht="51.75" customHeight="1" x14ac:dyDescent="0.2">
      <c r="A119" s="24" t="s">
        <v>12</v>
      </c>
      <c r="B119" s="25" t="s">
        <v>157</v>
      </c>
      <c r="C119" s="32"/>
      <c r="D119" s="32"/>
      <c r="E119" s="32"/>
      <c r="F119" s="32"/>
      <c r="G119" s="14">
        <f>H119+I119+J119</f>
        <v>4000</v>
      </c>
      <c r="H119" s="14">
        <f>SUM(H120:H121)</f>
        <v>0</v>
      </c>
      <c r="I119" s="14">
        <f>SUM(I120:I121)</f>
        <v>4000</v>
      </c>
      <c r="J119" s="14">
        <f>SUM(J120:J121)</f>
        <v>0</v>
      </c>
      <c r="K119" s="14">
        <f>L119+M119+N119</f>
        <v>4000</v>
      </c>
      <c r="L119" s="14">
        <f>SUM(L120:L121)</f>
        <v>0</v>
      </c>
      <c r="M119" s="14">
        <f>SUM(M120:M121)</f>
        <v>4000</v>
      </c>
      <c r="N119" s="14">
        <f>SUM(N120:N121)</f>
        <v>0</v>
      </c>
      <c r="O119" s="14">
        <f>P119+Q119+R119</f>
        <v>3809.0181600000001</v>
      </c>
      <c r="P119" s="14">
        <f>SUM(P120:P121)</f>
        <v>0</v>
      </c>
      <c r="Q119" s="14">
        <f>SUM(Q120:Q121)</f>
        <v>3809.0181600000001</v>
      </c>
      <c r="R119" s="14">
        <f>SUM(R120:R121)</f>
        <v>0</v>
      </c>
      <c r="S119" s="14">
        <f>T119+U119+V119</f>
        <v>3809.0181600000001</v>
      </c>
      <c r="T119" s="14">
        <f>SUM(T120:T121)</f>
        <v>0</v>
      </c>
      <c r="U119" s="14">
        <f>SUM(U120:U121)</f>
        <v>3809.0181600000001</v>
      </c>
      <c r="V119" s="14">
        <f>SUM(V120:V121)</f>
        <v>0</v>
      </c>
      <c r="W119" s="22">
        <f t="shared" si="27"/>
        <v>95.225453999999999</v>
      </c>
      <c r="X119" s="44"/>
      <c r="Y119" s="48">
        <f t="shared" si="28"/>
        <v>0</v>
      </c>
      <c r="Z119" s="48"/>
      <c r="AA119" s="45"/>
      <c r="AB119" s="45"/>
      <c r="AC119" s="45"/>
    </row>
    <row r="120" spans="1:29" ht="42" customHeight="1" x14ac:dyDescent="0.2">
      <c r="A120" s="26" t="s">
        <v>41</v>
      </c>
      <c r="B120" s="28" t="s">
        <v>156</v>
      </c>
      <c r="C120" s="31" t="s">
        <v>207</v>
      </c>
      <c r="D120" s="31"/>
      <c r="E120" s="31"/>
      <c r="F120" s="31" t="s">
        <v>55</v>
      </c>
      <c r="G120" s="10">
        <f>SUM(H120:J120)</f>
        <v>800</v>
      </c>
      <c r="H120" s="10"/>
      <c r="I120" s="10">
        <v>800</v>
      </c>
      <c r="J120" s="10"/>
      <c r="K120" s="10">
        <f>SUM(L120:N120)</f>
        <v>800</v>
      </c>
      <c r="L120" s="10"/>
      <c r="M120" s="10">
        <v>800</v>
      </c>
      <c r="N120" s="10"/>
      <c r="O120" s="7">
        <f>SUM(P120:R120)</f>
        <v>609.01816000000008</v>
      </c>
      <c r="P120" s="7"/>
      <c r="Q120" s="35">
        <f>609018.16/1000</f>
        <v>609.01816000000008</v>
      </c>
      <c r="R120" s="7"/>
      <c r="S120" s="7">
        <f>SUM(T120:V120)</f>
        <v>609.01816000000008</v>
      </c>
      <c r="T120" s="7"/>
      <c r="U120" s="7">
        <f>609018.16/1000</f>
        <v>609.01816000000008</v>
      </c>
      <c r="V120" s="7"/>
      <c r="W120" s="22">
        <f t="shared" si="27"/>
        <v>76.12727000000001</v>
      </c>
      <c r="X120" s="44"/>
      <c r="Y120" s="48">
        <f t="shared" si="28"/>
        <v>0</v>
      </c>
      <c r="Z120" s="48"/>
      <c r="AA120" s="45"/>
      <c r="AB120" s="45"/>
      <c r="AC120" s="45"/>
    </row>
    <row r="121" spans="1:29" ht="42" customHeight="1" x14ac:dyDescent="0.2">
      <c r="A121" s="26" t="s">
        <v>155</v>
      </c>
      <c r="B121" s="28" t="s">
        <v>158</v>
      </c>
      <c r="C121" s="31" t="s">
        <v>208</v>
      </c>
      <c r="D121" s="31"/>
      <c r="E121" s="31"/>
      <c r="F121" s="31" t="s">
        <v>247</v>
      </c>
      <c r="G121" s="10">
        <f>SUM(H121:J121)</f>
        <v>3200</v>
      </c>
      <c r="H121" s="10"/>
      <c r="I121" s="10">
        <v>3200</v>
      </c>
      <c r="J121" s="10"/>
      <c r="K121" s="10">
        <f>SUM(L121:N121)</f>
        <v>3200</v>
      </c>
      <c r="L121" s="10"/>
      <c r="M121" s="10">
        <v>3200</v>
      </c>
      <c r="N121" s="10"/>
      <c r="O121" s="7">
        <f>SUM(P121:R121)</f>
        <v>3200</v>
      </c>
      <c r="P121" s="7"/>
      <c r="Q121" s="35">
        <f>3200000/1000</f>
        <v>3200</v>
      </c>
      <c r="R121" s="7"/>
      <c r="S121" s="7">
        <f>SUM(T121:V121)</f>
        <v>3200</v>
      </c>
      <c r="T121" s="7"/>
      <c r="U121" s="7">
        <f>3200000/1000</f>
        <v>3200</v>
      </c>
      <c r="V121" s="7"/>
      <c r="W121" s="22"/>
      <c r="X121" s="44"/>
      <c r="Y121" s="48"/>
      <c r="Z121" s="48"/>
      <c r="AA121" s="45"/>
      <c r="AB121" s="45"/>
      <c r="AC121" s="45"/>
    </row>
    <row r="122" spans="1:29" ht="51.75" customHeight="1" x14ac:dyDescent="0.2">
      <c r="A122" s="24" t="s">
        <v>14</v>
      </c>
      <c r="B122" s="25" t="s">
        <v>265</v>
      </c>
      <c r="C122" s="32"/>
      <c r="D122" s="32"/>
      <c r="E122" s="32"/>
      <c r="F122" s="32"/>
      <c r="G122" s="14">
        <f>H122+I122+J122</f>
        <v>4100</v>
      </c>
      <c r="H122" s="14">
        <f>H123+H124</f>
        <v>0</v>
      </c>
      <c r="I122" s="14">
        <f>I123+I124</f>
        <v>4100</v>
      </c>
      <c r="J122" s="14">
        <f>J123+J124</f>
        <v>0</v>
      </c>
      <c r="K122" s="14">
        <f>L122+M122+N122</f>
        <v>3130</v>
      </c>
      <c r="L122" s="14">
        <f>L123+L124</f>
        <v>0</v>
      </c>
      <c r="M122" s="14">
        <f>M123+M124</f>
        <v>3130</v>
      </c>
      <c r="N122" s="14">
        <f>N123+N124</f>
        <v>0</v>
      </c>
      <c r="O122" s="14">
        <f>P122+Q122+R122</f>
        <v>2077.2044700000001</v>
      </c>
      <c r="P122" s="14">
        <f>P123+P124</f>
        <v>0</v>
      </c>
      <c r="Q122" s="14">
        <f>Q123+Q124</f>
        <v>2077.2044700000001</v>
      </c>
      <c r="R122" s="14">
        <f>R123+R124</f>
        <v>0</v>
      </c>
      <c r="S122" s="14">
        <f>T122+U122+V122</f>
        <v>2077.2044700000001</v>
      </c>
      <c r="T122" s="14">
        <f>T123+T124</f>
        <v>0</v>
      </c>
      <c r="U122" s="14">
        <f>U123+U124</f>
        <v>2077.2044700000001</v>
      </c>
      <c r="V122" s="14">
        <f>V123+V124</f>
        <v>0</v>
      </c>
      <c r="W122" s="22">
        <f>S122*100/K122</f>
        <v>66.364360063897763</v>
      </c>
      <c r="X122" s="44"/>
      <c r="Y122" s="48">
        <f>O122-S122</f>
        <v>0</v>
      </c>
      <c r="Z122" s="48"/>
      <c r="AA122" s="45"/>
      <c r="AB122" s="45"/>
      <c r="AC122" s="45"/>
    </row>
    <row r="123" spans="1:29" s="45" customFormat="1" ht="37.5" customHeight="1" x14ac:dyDescent="0.2">
      <c r="A123" s="116" t="s">
        <v>264</v>
      </c>
      <c r="B123" s="100" t="s">
        <v>266</v>
      </c>
      <c r="C123" s="31" t="s">
        <v>267</v>
      </c>
      <c r="D123" s="26"/>
      <c r="E123" s="26"/>
      <c r="F123" s="26" t="s">
        <v>176</v>
      </c>
      <c r="G123" s="82">
        <f>H123+I123+J123</f>
        <v>900</v>
      </c>
      <c r="H123" s="82"/>
      <c r="I123" s="41">
        <v>900</v>
      </c>
      <c r="J123" s="82"/>
      <c r="K123" s="10">
        <f>SUM(L123:N123)</f>
        <v>0</v>
      </c>
      <c r="L123" s="82"/>
      <c r="M123" s="82"/>
      <c r="N123" s="82"/>
      <c r="O123" s="82"/>
      <c r="P123" s="82"/>
      <c r="Q123" s="82">
        <v>0</v>
      </c>
      <c r="R123" s="82"/>
      <c r="S123" s="82"/>
      <c r="T123" s="82"/>
      <c r="U123" s="82">
        <v>0</v>
      </c>
      <c r="V123" s="82"/>
      <c r="W123" s="79"/>
      <c r="X123" s="46"/>
      <c r="Y123" s="80"/>
      <c r="Z123" s="80"/>
    </row>
    <row r="124" spans="1:29" ht="30" customHeight="1" x14ac:dyDescent="0.2">
      <c r="A124" s="118"/>
      <c r="B124" s="101"/>
      <c r="C124" s="31" t="s">
        <v>267</v>
      </c>
      <c r="D124" s="31"/>
      <c r="E124" s="31"/>
      <c r="F124" s="31" t="s">
        <v>54</v>
      </c>
      <c r="G124" s="10">
        <f>H124+I124+J124</f>
        <v>3200</v>
      </c>
      <c r="H124" s="10"/>
      <c r="I124" s="10">
        <v>3200</v>
      </c>
      <c r="J124" s="10"/>
      <c r="K124" s="10">
        <f>SUM(L124:N124)</f>
        <v>3130</v>
      </c>
      <c r="L124" s="10"/>
      <c r="M124" s="10">
        <f>1700+330+800+300</f>
        <v>3130</v>
      </c>
      <c r="N124" s="10"/>
      <c r="O124" s="7">
        <f>SUM(P124:R124)</f>
        <v>2077.2044700000001</v>
      </c>
      <c r="P124" s="7"/>
      <c r="Q124" s="35">
        <f>2077204.47/1000</f>
        <v>2077.2044700000001</v>
      </c>
      <c r="R124" s="7"/>
      <c r="S124" s="7">
        <f>SUM(T124:V124)</f>
        <v>2077.2044700000001</v>
      </c>
      <c r="T124" s="7"/>
      <c r="U124" s="7">
        <f>2077204.47/1000</f>
        <v>2077.2044700000001</v>
      </c>
      <c r="V124" s="7"/>
      <c r="W124" s="22">
        <f t="shared" si="27"/>
        <v>66.364360063897763</v>
      </c>
      <c r="X124" s="44"/>
      <c r="Y124" s="48">
        <f t="shared" si="28"/>
        <v>0</v>
      </c>
      <c r="Z124" s="48"/>
      <c r="AA124" s="45"/>
      <c r="AB124" s="45"/>
      <c r="AC124" s="45"/>
    </row>
    <row r="125" spans="1:29" ht="43.5" customHeight="1" x14ac:dyDescent="0.2">
      <c r="A125" s="109" t="s">
        <v>159</v>
      </c>
      <c r="B125" s="109"/>
      <c r="C125" s="30"/>
      <c r="D125" s="30"/>
      <c r="E125" s="30"/>
      <c r="F125" s="30"/>
      <c r="G125" s="15">
        <f>H125+I125+J125</f>
        <v>6190</v>
      </c>
      <c r="H125" s="11">
        <f>H126+H128+H133+H135</f>
        <v>0</v>
      </c>
      <c r="I125" s="11">
        <f>I126+I128+I133+I135</f>
        <v>6190</v>
      </c>
      <c r="J125" s="11">
        <f>J126+J128+J133+J135</f>
        <v>0</v>
      </c>
      <c r="K125" s="15">
        <f t="shared" ref="K125:K133" si="33">L125+M125+N125</f>
        <v>5190</v>
      </c>
      <c r="L125" s="11">
        <f>L126+L128+L133+L135</f>
        <v>0</v>
      </c>
      <c r="M125" s="11">
        <f>M126+M128+M133+M135</f>
        <v>5190</v>
      </c>
      <c r="N125" s="11">
        <f>N126+N128+N133+N135</f>
        <v>0</v>
      </c>
      <c r="O125" s="15">
        <f>P125+Q125+R125</f>
        <v>4852.1149999999998</v>
      </c>
      <c r="P125" s="11">
        <f>P126+P128+P133+P135</f>
        <v>0</v>
      </c>
      <c r="Q125" s="11">
        <f>Q126+Q128+Q133+Q135</f>
        <v>4852.1149999999998</v>
      </c>
      <c r="R125" s="11">
        <f>R126+R128+R133+R135</f>
        <v>0</v>
      </c>
      <c r="S125" s="15">
        <f>T125+U125+V125</f>
        <v>4852.1149999999998</v>
      </c>
      <c r="T125" s="11">
        <f>T126+T128+T133+T135</f>
        <v>0</v>
      </c>
      <c r="U125" s="11">
        <f>U126+U128+U133+U135</f>
        <v>4852.1149999999998</v>
      </c>
      <c r="V125" s="11">
        <f>V126+V128+V133+V135</f>
        <v>0</v>
      </c>
      <c r="W125" s="22">
        <f t="shared" si="27"/>
        <v>93.489691714836226</v>
      </c>
      <c r="X125" s="44"/>
      <c r="Y125" s="72">
        <f t="shared" si="28"/>
        <v>0</v>
      </c>
      <c r="Z125" s="48"/>
      <c r="AA125" s="45"/>
      <c r="AB125" s="45"/>
      <c r="AC125" s="45"/>
    </row>
    <row r="126" spans="1:29" ht="46.5" customHeight="1" x14ac:dyDescent="0.2">
      <c r="A126" s="25">
        <v>1</v>
      </c>
      <c r="B126" s="25" t="s">
        <v>22</v>
      </c>
      <c r="C126" s="32"/>
      <c r="D126" s="32"/>
      <c r="E126" s="32"/>
      <c r="F126" s="32"/>
      <c r="G126" s="14">
        <f t="shared" si="32"/>
        <v>4000</v>
      </c>
      <c r="H126" s="14">
        <f>H127</f>
        <v>0</v>
      </c>
      <c r="I126" s="14">
        <f>I127</f>
        <v>4000</v>
      </c>
      <c r="J126" s="14">
        <f>J127</f>
        <v>0</v>
      </c>
      <c r="K126" s="14">
        <f t="shared" si="33"/>
        <v>4000</v>
      </c>
      <c r="L126" s="14">
        <f>L127</f>
        <v>0</v>
      </c>
      <c r="M126" s="14">
        <f>M127</f>
        <v>4000</v>
      </c>
      <c r="N126" s="14">
        <f>N127</f>
        <v>0</v>
      </c>
      <c r="O126" s="14">
        <f>P126+Q126+R126</f>
        <v>4000</v>
      </c>
      <c r="P126" s="14">
        <f>P127</f>
        <v>0</v>
      </c>
      <c r="Q126" s="14">
        <f>Q127</f>
        <v>4000</v>
      </c>
      <c r="R126" s="14">
        <f>R127</f>
        <v>0</v>
      </c>
      <c r="S126" s="14">
        <f>T126+U126+V126</f>
        <v>4000</v>
      </c>
      <c r="T126" s="14">
        <f>T127</f>
        <v>0</v>
      </c>
      <c r="U126" s="14">
        <f>U127</f>
        <v>4000</v>
      </c>
      <c r="V126" s="14">
        <f>V127</f>
        <v>0</v>
      </c>
      <c r="W126" s="22">
        <f t="shared" si="27"/>
        <v>100</v>
      </c>
      <c r="X126" s="44"/>
      <c r="Y126" s="72">
        <f t="shared" si="28"/>
        <v>0</v>
      </c>
      <c r="Z126" s="48"/>
      <c r="AA126" s="45"/>
      <c r="AB126" s="45"/>
      <c r="AC126" s="45"/>
    </row>
    <row r="127" spans="1:29" ht="40.5" customHeight="1" x14ac:dyDescent="0.2">
      <c r="A127" s="26" t="s">
        <v>26</v>
      </c>
      <c r="B127" s="28" t="s">
        <v>160</v>
      </c>
      <c r="C127" s="31" t="s">
        <v>209</v>
      </c>
      <c r="D127" s="31"/>
      <c r="E127" s="31"/>
      <c r="F127" s="31" t="s">
        <v>247</v>
      </c>
      <c r="G127" s="10">
        <f t="shared" si="32"/>
        <v>4000</v>
      </c>
      <c r="H127" s="7">
        <v>0</v>
      </c>
      <c r="I127" s="10">
        <v>4000</v>
      </c>
      <c r="J127" s="9">
        <v>0</v>
      </c>
      <c r="K127" s="7">
        <f t="shared" si="33"/>
        <v>4000</v>
      </c>
      <c r="L127" s="7">
        <v>0</v>
      </c>
      <c r="M127" s="7">
        <v>4000</v>
      </c>
      <c r="N127" s="7">
        <v>0</v>
      </c>
      <c r="O127" s="7">
        <f>P127+Q127+R127</f>
        <v>4000</v>
      </c>
      <c r="P127" s="7">
        <v>0</v>
      </c>
      <c r="Q127" s="35">
        <f>4000000/1000</f>
        <v>4000</v>
      </c>
      <c r="R127" s="7">
        <v>0</v>
      </c>
      <c r="S127" s="7">
        <f>T127+U127+V127</f>
        <v>4000</v>
      </c>
      <c r="T127" s="7">
        <v>0</v>
      </c>
      <c r="U127" s="7">
        <v>4000</v>
      </c>
      <c r="V127" s="7">
        <v>0</v>
      </c>
      <c r="W127" s="22">
        <f t="shared" si="27"/>
        <v>100</v>
      </c>
      <c r="X127" s="44"/>
      <c r="Y127" s="72">
        <f t="shared" si="28"/>
        <v>0</v>
      </c>
      <c r="Z127" s="72"/>
      <c r="AA127" s="45"/>
      <c r="AB127" s="45"/>
      <c r="AC127" s="45"/>
    </row>
    <row r="128" spans="1:29" ht="37.5" customHeight="1" x14ac:dyDescent="0.2">
      <c r="A128" s="25">
        <v>2</v>
      </c>
      <c r="B128" s="25" t="s">
        <v>161</v>
      </c>
      <c r="C128" s="32"/>
      <c r="D128" s="32"/>
      <c r="E128" s="32"/>
      <c r="F128" s="32"/>
      <c r="G128" s="14">
        <f t="shared" si="32"/>
        <v>790</v>
      </c>
      <c r="H128" s="14">
        <f>SUM(H130:H132)</f>
        <v>0</v>
      </c>
      <c r="I128" s="14">
        <f>SUM(I130:I132)</f>
        <v>790</v>
      </c>
      <c r="J128" s="14">
        <f>SUM(J130:J132)</f>
        <v>0</v>
      </c>
      <c r="K128" s="14">
        <f t="shared" si="33"/>
        <v>790</v>
      </c>
      <c r="L128" s="14">
        <f>SUM(L130:L132)</f>
        <v>0</v>
      </c>
      <c r="M128" s="14">
        <f>SUM(M129:M132)</f>
        <v>790</v>
      </c>
      <c r="N128" s="14">
        <f>SUM(N130:N132)</f>
        <v>0</v>
      </c>
      <c r="O128" s="14">
        <f>P128+Q128+R128</f>
        <v>789.88499999999999</v>
      </c>
      <c r="P128" s="14">
        <f>SUM(P130:P132)</f>
        <v>0</v>
      </c>
      <c r="Q128" s="14">
        <f>SUM(Q129:Q132)</f>
        <v>789.88499999999999</v>
      </c>
      <c r="R128" s="14">
        <f>SUM(R130:R132)</f>
        <v>0</v>
      </c>
      <c r="S128" s="14">
        <f>T128+U128+V128</f>
        <v>789.88499999999999</v>
      </c>
      <c r="T128" s="14">
        <f>SUM(T130:T132)</f>
        <v>0</v>
      </c>
      <c r="U128" s="14">
        <f>SUM(U129:U132)</f>
        <v>789.88499999999999</v>
      </c>
      <c r="V128" s="14">
        <f>SUM(V130:V132)</f>
        <v>0</v>
      </c>
      <c r="W128" s="22">
        <f t="shared" si="27"/>
        <v>99.98544303797469</v>
      </c>
      <c r="X128" s="44"/>
      <c r="Y128" s="48">
        <f t="shared" si="28"/>
        <v>0</v>
      </c>
      <c r="Z128" s="48"/>
      <c r="AA128" s="45"/>
      <c r="AB128" s="45"/>
      <c r="AC128" s="45"/>
    </row>
    <row r="129" spans="1:29" s="45" customFormat="1" ht="18" customHeight="1" x14ac:dyDescent="0.2">
      <c r="A129" s="116" t="s">
        <v>29</v>
      </c>
      <c r="B129" s="124" t="s">
        <v>162</v>
      </c>
      <c r="C129" s="31" t="s">
        <v>210</v>
      </c>
      <c r="D129" s="26"/>
      <c r="E129" s="26"/>
      <c r="F129" s="26" t="s">
        <v>56</v>
      </c>
      <c r="G129" s="82"/>
      <c r="H129" s="82"/>
      <c r="I129" s="82"/>
      <c r="J129" s="82"/>
      <c r="K129" s="10">
        <f t="shared" si="33"/>
        <v>1.7</v>
      </c>
      <c r="L129" s="82"/>
      <c r="M129" s="41">
        <f>1700/1000</f>
        <v>1.7</v>
      </c>
      <c r="N129" s="82"/>
      <c r="O129" s="82"/>
      <c r="P129" s="82"/>
      <c r="Q129" s="41">
        <f>1650/1000</f>
        <v>1.65</v>
      </c>
      <c r="R129" s="82"/>
      <c r="S129" s="82"/>
      <c r="T129" s="82"/>
      <c r="U129" s="82">
        <f>1650/1000</f>
        <v>1.65</v>
      </c>
      <c r="V129" s="82"/>
      <c r="W129" s="79"/>
      <c r="X129" s="46"/>
      <c r="Y129" s="80"/>
      <c r="Z129" s="80"/>
    </row>
    <row r="130" spans="1:29" ht="15.75" customHeight="1" x14ac:dyDescent="0.2">
      <c r="A130" s="117"/>
      <c r="B130" s="125"/>
      <c r="C130" s="31" t="s">
        <v>210</v>
      </c>
      <c r="D130" s="31"/>
      <c r="E130" s="31"/>
      <c r="F130" s="31" t="s">
        <v>67</v>
      </c>
      <c r="G130" s="10">
        <f t="shared" si="32"/>
        <v>380</v>
      </c>
      <c r="H130" s="7"/>
      <c r="I130" s="10">
        <v>380</v>
      </c>
      <c r="J130" s="7"/>
      <c r="K130" s="10">
        <f t="shared" si="33"/>
        <v>100</v>
      </c>
      <c r="L130" s="35"/>
      <c r="M130" s="10">
        <v>100</v>
      </c>
      <c r="N130" s="7"/>
      <c r="O130" s="7">
        <f>SUM(P130:R130)</f>
        <v>100</v>
      </c>
      <c r="P130" s="7">
        <f>T130</f>
        <v>0</v>
      </c>
      <c r="Q130" s="35">
        <f>100000/1000</f>
        <v>100</v>
      </c>
      <c r="R130" s="7"/>
      <c r="S130" s="7">
        <f>SUM(T130:V130)</f>
        <v>100</v>
      </c>
      <c r="T130" s="7"/>
      <c r="U130" s="7">
        <v>100</v>
      </c>
      <c r="V130" s="7"/>
      <c r="W130" s="22">
        <f t="shared" si="27"/>
        <v>100</v>
      </c>
      <c r="X130" s="44"/>
      <c r="Y130" s="48">
        <f t="shared" si="28"/>
        <v>0</v>
      </c>
      <c r="Z130" s="48"/>
      <c r="AA130" s="45"/>
      <c r="AB130" s="45"/>
      <c r="AC130" s="45"/>
    </row>
    <row r="131" spans="1:29" x14ac:dyDescent="0.2">
      <c r="A131" s="117"/>
      <c r="B131" s="125"/>
      <c r="C131" s="31" t="s">
        <v>210</v>
      </c>
      <c r="D131" s="31"/>
      <c r="E131" s="31"/>
      <c r="F131" s="31" t="s">
        <v>66</v>
      </c>
      <c r="G131" s="10">
        <f t="shared" si="32"/>
        <v>210</v>
      </c>
      <c r="H131" s="7"/>
      <c r="I131" s="10">
        <v>210</v>
      </c>
      <c r="J131" s="7"/>
      <c r="K131" s="10">
        <f t="shared" si="33"/>
        <v>333.8</v>
      </c>
      <c r="L131" s="35"/>
      <c r="M131" s="10">
        <v>333.8</v>
      </c>
      <c r="N131" s="7"/>
      <c r="O131" s="7">
        <f>SUM(P131:R131)</f>
        <v>333.73500000000001</v>
      </c>
      <c r="P131" s="7"/>
      <c r="Q131" s="35">
        <f>333735/1000</f>
        <v>333.73500000000001</v>
      </c>
      <c r="R131" s="7"/>
      <c r="S131" s="7">
        <f>SUM(T131:V131)</f>
        <v>333.73500000000001</v>
      </c>
      <c r="T131" s="7"/>
      <c r="U131" s="7">
        <f>333735/1000</f>
        <v>333.73500000000001</v>
      </c>
      <c r="V131" s="7"/>
      <c r="W131" s="22">
        <f t="shared" si="27"/>
        <v>99.98052726183343</v>
      </c>
      <c r="X131" s="44"/>
      <c r="Y131" s="48">
        <f t="shared" si="28"/>
        <v>0</v>
      </c>
      <c r="Z131" s="48"/>
      <c r="AA131" s="45"/>
      <c r="AB131" s="45"/>
      <c r="AC131" s="45"/>
    </row>
    <row r="132" spans="1:29" x14ac:dyDescent="0.2">
      <c r="A132" s="118"/>
      <c r="B132" s="126"/>
      <c r="C132" s="31" t="s">
        <v>210</v>
      </c>
      <c r="D132" s="31"/>
      <c r="E132" s="31"/>
      <c r="F132" s="31" t="s">
        <v>63</v>
      </c>
      <c r="G132" s="10">
        <f t="shared" si="32"/>
        <v>200</v>
      </c>
      <c r="H132" s="7"/>
      <c r="I132" s="10">
        <v>200</v>
      </c>
      <c r="J132" s="7">
        <v>0</v>
      </c>
      <c r="K132" s="10">
        <f t="shared" si="33"/>
        <v>354.5</v>
      </c>
      <c r="L132" s="35"/>
      <c r="M132" s="10">
        <v>354.5</v>
      </c>
      <c r="N132" s="7"/>
      <c r="O132" s="7">
        <f>SUM(P132:R132)</f>
        <v>354.5</v>
      </c>
      <c r="P132" s="7"/>
      <c r="Q132" s="35">
        <f>354500/1000</f>
        <v>354.5</v>
      </c>
      <c r="R132" s="7"/>
      <c r="S132" s="7">
        <f>SUM(T132:V132)</f>
        <v>354.5</v>
      </c>
      <c r="T132" s="7"/>
      <c r="U132" s="7">
        <f>354500/1000</f>
        <v>354.5</v>
      </c>
      <c r="V132" s="7"/>
      <c r="W132" s="22">
        <f t="shared" si="27"/>
        <v>100</v>
      </c>
      <c r="X132" s="44"/>
      <c r="Y132" s="48">
        <f t="shared" si="28"/>
        <v>0</v>
      </c>
      <c r="Z132" s="48"/>
      <c r="AA132" s="45"/>
      <c r="AB132" s="45"/>
      <c r="AC132" s="45"/>
    </row>
    <row r="133" spans="1:29" ht="54" customHeight="1" x14ac:dyDescent="0.2">
      <c r="A133" s="25">
        <v>3</v>
      </c>
      <c r="B133" s="25" t="s">
        <v>163</v>
      </c>
      <c r="C133" s="32"/>
      <c r="D133" s="32"/>
      <c r="E133" s="32"/>
      <c r="F133" s="32"/>
      <c r="G133" s="14">
        <f t="shared" si="32"/>
        <v>1400</v>
      </c>
      <c r="H133" s="14">
        <f>SUM(H134:H134)</f>
        <v>0</v>
      </c>
      <c r="I133" s="14">
        <f>SUM(I134:I134)</f>
        <v>1400</v>
      </c>
      <c r="J133" s="14">
        <f>SUM(J134:J134)</f>
        <v>0</v>
      </c>
      <c r="K133" s="14">
        <f t="shared" si="33"/>
        <v>400</v>
      </c>
      <c r="L133" s="14">
        <f>SUM(L134:L134)</f>
        <v>0</v>
      </c>
      <c r="M133" s="14">
        <f>SUM(M134:M134)</f>
        <v>400</v>
      </c>
      <c r="N133" s="14">
        <f>SUM(N134:N134)</f>
        <v>0</v>
      </c>
      <c r="O133" s="14">
        <f>P133+Q133+R133</f>
        <v>62.23</v>
      </c>
      <c r="P133" s="14">
        <f>SUM(P134:P134)</f>
        <v>0</v>
      </c>
      <c r="Q133" s="14">
        <f>SUM(Q134:Q134)</f>
        <v>62.23</v>
      </c>
      <c r="R133" s="14">
        <f>SUM(R134:R134)</f>
        <v>0</v>
      </c>
      <c r="S133" s="14">
        <f>T133+U133+V133</f>
        <v>62.23</v>
      </c>
      <c r="T133" s="14">
        <f>SUM(T134:T134)</f>
        <v>0</v>
      </c>
      <c r="U133" s="14">
        <f>SUM(U134:U134)</f>
        <v>62.23</v>
      </c>
      <c r="V133" s="14">
        <f>SUM(V134:V134)</f>
        <v>0</v>
      </c>
      <c r="W133" s="22">
        <f t="shared" si="27"/>
        <v>15.557499999999999</v>
      </c>
      <c r="X133" s="44"/>
      <c r="Y133" s="48">
        <f t="shared" si="28"/>
        <v>0</v>
      </c>
      <c r="Z133" s="48"/>
      <c r="AA133" s="45"/>
      <c r="AB133" s="45"/>
      <c r="AC133" s="45"/>
    </row>
    <row r="134" spans="1:29" ht="52.5" customHeight="1" x14ac:dyDescent="0.2">
      <c r="A134" s="26" t="s">
        <v>30</v>
      </c>
      <c r="B134" s="28" t="s">
        <v>164</v>
      </c>
      <c r="C134" s="31" t="s">
        <v>211</v>
      </c>
      <c r="D134" s="31"/>
      <c r="E134" s="31"/>
      <c r="F134" s="31" t="s">
        <v>176</v>
      </c>
      <c r="G134" s="10">
        <f t="shared" si="32"/>
        <v>1400</v>
      </c>
      <c r="H134" s="7"/>
      <c r="I134" s="10">
        <v>1400</v>
      </c>
      <c r="J134" s="7"/>
      <c r="K134" s="7">
        <f>SUM(L134:N134)</f>
        <v>400</v>
      </c>
      <c r="L134" s="7"/>
      <c r="M134" s="7">
        <v>400</v>
      </c>
      <c r="N134" s="7"/>
      <c r="O134" s="7">
        <f>SUM(P134:R134)</f>
        <v>62.23</v>
      </c>
      <c r="P134" s="7"/>
      <c r="Q134" s="35">
        <f>62230/1000</f>
        <v>62.23</v>
      </c>
      <c r="R134" s="7"/>
      <c r="S134" s="7">
        <f>SUM(T134:V134)</f>
        <v>62.23</v>
      </c>
      <c r="T134" s="7"/>
      <c r="U134" s="7">
        <f>62230/1000</f>
        <v>62.23</v>
      </c>
      <c r="V134" s="7"/>
      <c r="W134" s="22">
        <f t="shared" si="27"/>
        <v>15.557499999999999</v>
      </c>
      <c r="X134" s="44"/>
      <c r="Y134" s="48">
        <f t="shared" si="28"/>
        <v>0</v>
      </c>
      <c r="Z134" s="48"/>
      <c r="AA134" s="45"/>
      <c r="AB134" s="45"/>
      <c r="AC134" s="45"/>
    </row>
    <row r="135" spans="1:29" ht="36" hidden="1" customHeight="1" x14ac:dyDescent="0.2">
      <c r="A135" s="25">
        <v>4</v>
      </c>
      <c r="B135" s="25" t="s">
        <v>268</v>
      </c>
      <c r="C135" s="32"/>
      <c r="D135" s="32"/>
      <c r="E135" s="32"/>
      <c r="F135" s="32"/>
      <c r="G135" s="14">
        <f>H135+I135+J135</f>
        <v>0</v>
      </c>
      <c r="H135" s="14">
        <f>SUM(H136:H136)</f>
        <v>0</v>
      </c>
      <c r="I135" s="14">
        <f>SUM(I136:I136)</f>
        <v>0</v>
      </c>
      <c r="J135" s="14">
        <f>SUM(J136:J136)</f>
        <v>0</v>
      </c>
      <c r="K135" s="14">
        <f>L135+M135+N135</f>
        <v>0</v>
      </c>
      <c r="L135" s="14">
        <f>SUM(L136:L136)</f>
        <v>0</v>
      </c>
      <c r="M135" s="14">
        <f>SUM(M136:M136)</f>
        <v>0</v>
      </c>
      <c r="N135" s="14">
        <f>SUM(N136:N136)</f>
        <v>0</v>
      </c>
      <c r="O135" s="14">
        <f>P135+Q135+R135</f>
        <v>0</v>
      </c>
      <c r="P135" s="14">
        <f>SUM(P136:P136)</f>
        <v>0</v>
      </c>
      <c r="Q135" s="14">
        <f>SUM(Q136:Q136)</f>
        <v>0</v>
      </c>
      <c r="R135" s="14">
        <f>SUM(R136:R136)</f>
        <v>0</v>
      </c>
      <c r="S135" s="14">
        <f>T135+U135+V135</f>
        <v>0</v>
      </c>
      <c r="T135" s="14">
        <f>SUM(T136:T136)</f>
        <v>0</v>
      </c>
      <c r="U135" s="14">
        <f>SUM(U136:U136)</f>
        <v>0</v>
      </c>
      <c r="V135" s="14">
        <f>SUM(V136:V136)</f>
        <v>0</v>
      </c>
      <c r="W135" s="22" t="e">
        <f t="shared" si="27"/>
        <v>#DIV/0!</v>
      </c>
      <c r="X135" s="44"/>
      <c r="Y135" s="48">
        <f t="shared" si="28"/>
        <v>0</v>
      </c>
      <c r="Z135" s="48"/>
      <c r="AA135" s="45"/>
      <c r="AB135" s="45"/>
      <c r="AC135" s="45"/>
    </row>
    <row r="136" spans="1:29" ht="49.5" hidden="1" customHeight="1" x14ac:dyDescent="0.2">
      <c r="A136" s="34" t="s">
        <v>31</v>
      </c>
      <c r="B136" s="77" t="s">
        <v>269</v>
      </c>
      <c r="C136" s="31"/>
      <c r="D136" s="31"/>
      <c r="E136" s="31"/>
      <c r="F136" s="31"/>
      <c r="G136" s="10">
        <f>H136+I136+J136</f>
        <v>0</v>
      </c>
      <c r="H136" s="7">
        <v>0</v>
      </c>
      <c r="I136" s="10"/>
      <c r="J136" s="7">
        <v>0</v>
      </c>
      <c r="K136" s="7">
        <f>SUM(L136:N136)</f>
        <v>0</v>
      </c>
      <c r="L136" s="7"/>
      <c r="M136" s="7"/>
      <c r="N136" s="7"/>
      <c r="O136" s="7">
        <f>SUM(P136:R136)</f>
        <v>0</v>
      </c>
      <c r="P136" s="7"/>
      <c r="Q136" s="7"/>
      <c r="R136" s="7"/>
      <c r="S136" s="7">
        <f>SUM(T136:V136)</f>
        <v>0</v>
      </c>
      <c r="T136" s="7"/>
      <c r="U136" s="7"/>
      <c r="V136" s="7"/>
      <c r="W136" s="22" t="e">
        <f t="shared" si="27"/>
        <v>#DIV/0!</v>
      </c>
      <c r="X136" s="44"/>
      <c r="Y136" s="48">
        <f t="shared" si="28"/>
        <v>0</v>
      </c>
      <c r="Z136" s="48"/>
      <c r="AA136" s="45"/>
      <c r="AB136" s="45"/>
      <c r="AC136" s="45"/>
    </row>
    <row r="137" spans="1:29" ht="36" hidden="1" customHeight="1" x14ac:dyDescent="0.2">
      <c r="A137" s="25">
        <v>5</v>
      </c>
      <c r="B137" s="25" t="s">
        <v>270</v>
      </c>
      <c r="C137" s="32"/>
      <c r="D137" s="32"/>
      <c r="E137" s="32"/>
      <c r="F137" s="32"/>
      <c r="G137" s="14">
        <f>H137+I137+J137</f>
        <v>0</v>
      </c>
      <c r="H137" s="14">
        <f>SUM(H138:H138)</f>
        <v>0</v>
      </c>
      <c r="I137" s="14">
        <f>SUM(I138:I138)</f>
        <v>0</v>
      </c>
      <c r="J137" s="14">
        <f>SUM(J138:J138)</f>
        <v>0</v>
      </c>
      <c r="K137" s="14">
        <f>L137+M137+N137</f>
        <v>0</v>
      </c>
      <c r="L137" s="14">
        <f>SUM(L138:L138)</f>
        <v>0</v>
      </c>
      <c r="M137" s="14">
        <f>SUM(M138:M138)</f>
        <v>0</v>
      </c>
      <c r="N137" s="14">
        <f>SUM(N138:N138)</f>
        <v>0</v>
      </c>
      <c r="O137" s="14">
        <f>P137+Q137+R137</f>
        <v>0</v>
      </c>
      <c r="P137" s="14">
        <f>SUM(P138:P138)</f>
        <v>0</v>
      </c>
      <c r="Q137" s="14">
        <f>SUM(Q138:Q138)</f>
        <v>0</v>
      </c>
      <c r="R137" s="14">
        <f>SUM(R138:R138)</f>
        <v>0</v>
      </c>
      <c r="S137" s="14">
        <f>T137+U137+V137</f>
        <v>0</v>
      </c>
      <c r="T137" s="14">
        <f>SUM(T138:T138)</f>
        <v>0</v>
      </c>
      <c r="U137" s="14">
        <f>SUM(U138:U138)</f>
        <v>0</v>
      </c>
      <c r="V137" s="14">
        <f>SUM(V138:V138)</f>
        <v>0</v>
      </c>
      <c r="W137" s="22" t="e">
        <f>S137*100/K137</f>
        <v>#DIV/0!</v>
      </c>
      <c r="X137" s="44"/>
      <c r="Y137" s="48">
        <f>O137-S137</f>
        <v>0</v>
      </c>
      <c r="Z137" s="48"/>
      <c r="AA137" s="45"/>
      <c r="AB137" s="45"/>
      <c r="AC137" s="45"/>
    </row>
    <row r="138" spans="1:29" ht="49.5" hidden="1" customHeight="1" x14ac:dyDescent="0.2">
      <c r="A138" s="34" t="s">
        <v>41</v>
      </c>
      <c r="B138" s="77" t="s">
        <v>271</v>
      </c>
      <c r="C138" s="31"/>
      <c r="D138" s="31"/>
      <c r="E138" s="31"/>
      <c r="F138" s="31"/>
      <c r="G138" s="10"/>
      <c r="H138" s="7"/>
      <c r="I138" s="10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22"/>
      <c r="X138" s="44"/>
      <c r="Y138" s="48"/>
      <c r="Z138" s="48"/>
      <c r="AA138" s="45"/>
      <c r="AB138" s="45"/>
      <c r="AC138" s="45"/>
    </row>
    <row r="139" spans="1:29" s="52" customFormat="1" ht="35.25" customHeight="1" x14ac:dyDescent="0.2">
      <c r="A139" s="115" t="s">
        <v>165</v>
      </c>
      <c r="B139" s="115"/>
      <c r="C139" s="49"/>
      <c r="D139" s="49"/>
      <c r="E139" s="49"/>
      <c r="F139" s="49"/>
      <c r="G139" s="50">
        <f>SUM(H139:J139)</f>
        <v>11188.2</v>
      </c>
      <c r="H139" s="50">
        <f>H140+H142</f>
        <v>6750</v>
      </c>
      <c r="I139" s="50">
        <f>I140+I142</f>
        <v>4438.2</v>
      </c>
      <c r="J139" s="50">
        <f>J140+J142</f>
        <v>0</v>
      </c>
      <c r="K139" s="50">
        <f>SUM(L139:N139)</f>
        <v>11188.2</v>
      </c>
      <c r="L139" s="50">
        <f>L140+L142</f>
        <v>6750</v>
      </c>
      <c r="M139" s="50">
        <f>M140+M142</f>
        <v>4438.2</v>
      </c>
      <c r="N139" s="50">
        <f>N140+N142</f>
        <v>0</v>
      </c>
      <c r="O139" s="50">
        <f>SUM(P139:R139)</f>
        <v>11034.960199999998</v>
      </c>
      <c r="P139" s="50">
        <f>P140+P142</f>
        <v>6716.0498899999984</v>
      </c>
      <c r="Q139" s="50">
        <f>Q140+Q142</f>
        <v>4318.9103100000002</v>
      </c>
      <c r="R139" s="50">
        <f>R140+R142</f>
        <v>0</v>
      </c>
      <c r="S139" s="50">
        <f>SUM(T139:V139)</f>
        <v>4719.4719999999998</v>
      </c>
      <c r="T139" s="50">
        <f>T140+T142</f>
        <v>2800.8439399999997</v>
      </c>
      <c r="U139" s="50">
        <f>U140+U142</f>
        <v>1918.62806</v>
      </c>
      <c r="V139" s="50">
        <f>V140+V142</f>
        <v>0</v>
      </c>
      <c r="W139" s="22">
        <f t="shared" si="27"/>
        <v>42.182585223717837</v>
      </c>
      <c r="X139" s="51"/>
      <c r="Y139" s="72">
        <f t="shared" si="28"/>
        <v>6315.488199999998</v>
      </c>
      <c r="Z139" s="72"/>
      <c r="AA139" s="57"/>
      <c r="AB139" s="57"/>
      <c r="AC139" s="57"/>
    </row>
    <row r="140" spans="1:29" s="52" customFormat="1" ht="40.5" customHeight="1" x14ac:dyDescent="0.2">
      <c r="A140" s="53">
        <v>1</v>
      </c>
      <c r="B140" s="53" t="s">
        <v>24</v>
      </c>
      <c r="C140" s="54"/>
      <c r="D140" s="54"/>
      <c r="E140" s="54"/>
      <c r="F140" s="54"/>
      <c r="G140" s="55">
        <f>H140+I140+J140</f>
        <v>10888.2</v>
      </c>
      <c r="H140" s="55">
        <f>H141</f>
        <v>6750</v>
      </c>
      <c r="I140" s="55">
        <f>I141</f>
        <v>4138.2</v>
      </c>
      <c r="J140" s="55">
        <f>J141</f>
        <v>0</v>
      </c>
      <c r="K140" s="55">
        <f>L140+M140+N140</f>
        <v>10888.2</v>
      </c>
      <c r="L140" s="55">
        <f>L141</f>
        <v>6750</v>
      </c>
      <c r="M140" s="55">
        <f>M141</f>
        <v>4138.2</v>
      </c>
      <c r="N140" s="55">
        <f>N141</f>
        <v>0</v>
      </c>
      <c r="O140" s="55">
        <f>P140+Q140+R140</f>
        <v>10833.436199999998</v>
      </c>
      <c r="P140" s="55">
        <f>P141</f>
        <v>6716.0498899999984</v>
      </c>
      <c r="Q140" s="55">
        <f>Q141</f>
        <v>4117.3863099999999</v>
      </c>
      <c r="R140" s="55">
        <f>R141</f>
        <v>0</v>
      </c>
      <c r="S140" s="55">
        <f>T140+U140+V140</f>
        <v>4517.9480000000003</v>
      </c>
      <c r="T140" s="55">
        <f>T141</f>
        <v>2800.8439399999997</v>
      </c>
      <c r="U140" s="55">
        <f>U141</f>
        <v>1717.1040600000001</v>
      </c>
      <c r="V140" s="55">
        <f>V141</f>
        <v>0</v>
      </c>
      <c r="W140" s="22">
        <f t="shared" si="27"/>
        <v>41.493984313293289</v>
      </c>
      <c r="X140" s="51"/>
      <c r="Y140" s="72">
        <f t="shared" si="28"/>
        <v>6315.488199999998</v>
      </c>
      <c r="Z140" s="72"/>
      <c r="AA140" s="57"/>
      <c r="AB140" s="57"/>
      <c r="AC140" s="57"/>
    </row>
    <row r="141" spans="1:29" s="57" customFormat="1" ht="43.5" customHeight="1" x14ac:dyDescent="0.2">
      <c r="A141" s="59" t="s">
        <v>27</v>
      </c>
      <c r="B141" s="60" t="s">
        <v>105</v>
      </c>
      <c r="C141" s="31" t="s">
        <v>276</v>
      </c>
      <c r="D141" s="59" t="s">
        <v>212</v>
      </c>
      <c r="E141" s="59"/>
      <c r="F141" s="59" t="s">
        <v>55</v>
      </c>
      <c r="G141" s="61">
        <f>H141+I141+J141</f>
        <v>10888.2</v>
      </c>
      <c r="H141" s="62">
        <v>6750</v>
      </c>
      <c r="I141" s="61">
        <v>4138.2</v>
      </c>
      <c r="J141" s="62">
        <v>0</v>
      </c>
      <c r="K141" s="64">
        <f>SUM(L141:N141)</f>
        <v>10888.2</v>
      </c>
      <c r="L141" s="64">
        <v>6750</v>
      </c>
      <c r="M141" s="64">
        <v>4138.2</v>
      </c>
      <c r="N141" s="64"/>
      <c r="O141" s="64">
        <f>SUM(P141:R141)</f>
        <v>10833.436199999998</v>
      </c>
      <c r="P141" s="64">
        <f>[1]СЕНТЯБРЬ!$I$122/1000</f>
        <v>6716.0498899999984</v>
      </c>
      <c r="Q141" s="64">
        <f>[1]СЕНТЯБРЬ!$I$128/1000</f>
        <v>4117.3863099999999</v>
      </c>
      <c r="R141" s="64"/>
      <c r="S141" s="64">
        <f>SUM(T141:V141)</f>
        <v>4517.9480000000003</v>
      </c>
      <c r="T141" s="64">
        <f>[2]Лист1!$N$8/1000</f>
        <v>2800.8439399999997</v>
      </c>
      <c r="U141" s="65">
        <f>[2]Лист1!$O$8/1000</f>
        <v>1717.1040600000001</v>
      </c>
      <c r="V141" s="62"/>
      <c r="W141" s="22">
        <f t="shared" si="27"/>
        <v>41.493984313293289</v>
      </c>
      <c r="X141" s="63"/>
      <c r="Y141" s="72">
        <f t="shared" si="28"/>
        <v>6315.488199999998</v>
      </c>
      <c r="Z141" s="72"/>
    </row>
    <row r="142" spans="1:29" s="52" customFormat="1" ht="37.5" customHeight="1" x14ac:dyDescent="0.2">
      <c r="A142" s="53">
        <v>2</v>
      </c>
      <c r="B142" s="53" t="s">
        <v>25</v>
      </c>
      <c r="C142" s="54"/>
      <c r="D142" s="54"/>
      <c r="E142" s="54"/>
      <c r="F142" s="54"/>
      <c r="G142" s="55">
        <f>H142+I142+J142</f>
        <v>300</v>
      </c>
      <c r="H142" s="55">
        <f>H143</f>
        <v>0</v>
      </c>
      <c r="I142" s="55">
        <f>I143</f>
        <v>300</v>
      </c>
      <c r="J142" s="55">
        <f>J143</f>
        <v>0</v>
      </c>
      <c r="K142" s="55">
        <f>L142+M142+N142</f>
        <v>300</v>
      </c>
      <c r="L142" s="55">
        <f>L143</f>
        <v>0</v>
      </c>
      <c r="M142" s="55">
        <f>M143</f>
        <v>300</v>
      </c>
      <c r="N142" s="55">
        <f>N143</f>
        <v>0</v>
      </c>
      <c r="O142" s="55">
        <f>P142+Q142+R142</f>
        <v>201.524</v>
      </c>
      <c r="P142" s="55">
        <f>P143</f>
        <v>0</v>
      </c>
      <c r="Q142" s="55">
        <f>Q143</f>
        <v>201.524</v>
      </c>
      <c r="R142" s="55">
        <f>R143</f>
        <v>0</v>
      </c>
      <c r="S142" s="55">
        <f>T142+U142+V142</f>
        <v>201.524</v>
      </c>
      <c r="T142" s="55">
        <f>T143</f>
        <v>0</v>
      </c>
      <c r="U142" s="55">
        <f>U143</f>
        <v>201.524</v>
      </c>
      <c r="V142" s="55">
        <f>V143</f>
        <v>0</v>
      </c>
      <c r="W142" s="22">
        <f t="shared" si="27"/>
        <v>67.174666666666667</v>
      </c>
      <c r="X142" s="51"/>
      <c r="Y142" s="48">
        <f t="shared" si="28"/>
        <v>0</v>
      </c>
      <c r="Z142" s="48"/>
      <c r="AA142" s="57"/>
      <c r="AB142" s="57"/>
      <c r="AC142" s="57"/>
    </row>
    <row r="143" spans="1:29" s="57" customFormat="1" ht="57.75" customHeight="1" x14ac:dyDescent="0.2">
      <c r="A143" s="59" t="s">
        <v>29</v>
      </c>
      <c r="B143" s="60" t="s">
        <v>288</v>
      </c>
      <c r="C143" s="59" t="s">
        <v>213</v>
      </c>
      <c r="D143" s="59"/>
      <c r="E143" s="59"/>
      <c r="F143" s="59" t="s">
        <v>65</v>
      </c>
      <c r="G143" s="61">
        <f>H143+I143+J143</f>
        <v>300</v>
      </c>
      <c r="H143" s="62">
        <v>0</v>
      </c>
      <c r="I143" s="61">
        <v>300</v>
      </c>
      <c r="J143" s="62">
        <v>0</v>
      </c>
      <c r="K143" s="64">
        <f t="shared" ref="K143:K153" si="34">SUM(L143:N143)</f>
        <v>300</v>
      </c>
      <c r="L143" s="64"/>
      <c r="M143" s="64">
        <v>300</v>
      </c>
      <c r="N143" s="64"/>
      <c r="O143" s="64">
        <f>SUM(P143:R143)</f>
        <v>201.524</v>
      </c>
      <c r="P143" s="64"/>
      <c r="Q143" s="64">
        <f>201524/1000</f>
        <v>201.524</v>
      </c>
      <c r="R143" s="64"/>
      <c r="S143" s="64">
        <f>SUM(T143:V143)</f>
        <v>201.524</v>
      </c>
      <c r="T143" s="64"/>
      <c r="U143" s="64">
        <f>201524/1000</f>
        <v>201.524</v>
      </c>
      <c r="V143" s="62"/>
      <c r="W143" s="22">
        <f t="shared" si="27"/>
        <v>67.174666666666667</v>
      </c>
      <c r="X143" s="63"/>
      <c r="Y143" s="48">
        <f t="shared" si="28"/>
        <v>0</v>
      </c>
      <c r="Z143" s="48"/>
    </row>
    <row r="144" spans="1:29" ht="27.75" customHeight="1" x14ac:dyDescent="0.2">
      <c r="A144" s="109" t="s">
        <v>166</v>
      </c>
      <c r="B144" s="109"/>
      <c r="C144" s="30"/>
      <c r="D144" s="30"/>
      <c r="E144" s="30"/>
      <c r="F144" s="30"/>
      <c r="G144" s="11">
        <f>SUM(H144:J144)</f>
        <v>252172.9</v>
      </c>
      <c r="H144" s="11">
        <f>H145+H148+H151</f>
        <v>207153</v>
      </c>
      <c r="I144" s="11">
        <f>I145+I148+I151</f>
        <v>45019.899999999994</v>
      </c>
      <c r="J144" s="11">
        <f>J145+J148+J151</f>
        <v>0</v>
      </c>
      <c r="K144" s="11">
        <f t="shared" si="34"/>
        <v>248473.60000000001</v>
      </c>
      <c r="L144" s="11">
        <f>L145+L148+L151</f>
        <v>207153</v>
      </c>
      <c r="M144" s="11">
        <f>M145+M148+M151</f>
        <v>41320.6</v>
      </c>
      <c r="N144" s="11">
        <f>N145+N148+N151</f>
        <v>0</v>
      </c>
      <c r="O144" s="11">
        <f>SUM(P144:R144)</f>
        <v>6430</v>
      </c>
      <c r="P144" s="11">
        <f>P145+P148+P151</f>
        <v>0</v>
      </c>
      <c r="Q144" s="11">
        <f>Q145+Q148+Q151</f>
        <v>6430</v>
      </c>
      <c r="R144" s="11">
        <f>R145+R148+R151</f>
        <v>0</v>
      </c>
      <c r="S144" s="11">
        <f>SUM(T144:V144)</f>
        <v>6430</v>
      </c>
      <c r="T144" s="11">
        <f>T145+T148+T151</f>
        <v>0</v>
      </c>
      <c r="U144" s="11">
        <f>U145+U148+U151</f>
        <v>6430</v>
      </c>
      <c r="V144" s="11">
        <f>V145+V148+V151</f>
        <v>0</v>
      </c>
      <c r="W144" s="22">
        <f t="shared" si="27"/>
        <v>2.5878000721203378</v>
      </c>
      <c r="X144" s="46"/>
      <c r="Y144" s="48">
        <f t="shared" si="28"/>
        <v>0</v>
      </c>
      <c r="Z144" s="48"/>
      <c r="AA144" s="45"/>
      <c r="AB144" s="45"/>
      <c r="AC144" s="45"/>
    </row>
    <row r="145" spans="1:29" s="94" customFormat="1" ht="50.25" customHeight="1" x14ac:dyDescent="0.2">
      <c r="A145" s="25">
        <v>1</v>
      </c>
      <c r="B145" s="25" t="s">
        <v>272</v>
      </c>
      <c r="C145" s="32"/>
      <c r="D145" s="32"/>
      <c r="E145" s="32"/>
      <c r="F145" s="32"/>
      <c r="G145" s="14">
        <f>H145+I145+J145</f>
        <v>7000</v>
      </c>
      <c r="H145" s="14">
        <f>SUM(H146:H147)</f>
        <v>0</v>
      </c>
      <c r="I145" s="14">
        <f>SUM(I146:I147)</f>
        <v>7000</v>
      </c>
      <c r="J145" s="14">
        <f>SUM(J146:J147)</f>
        <v>0</v>
      </c>
      <c r="K145" s="14">
        <f t="shared" si="34"/>
        <v>6786</v>
      </c>
      <c r="L145" s="14">
        <f>SUM(L146:L147)</f>
        <v>0</v>
      </c>
      <c r="M145" s="14">
        <f>SUM(M146:M147)</f>
        <v>6786</v>
      </c>
      <c r="N145" s="14">
        <f>SUM(N146:N147)</f>
        <v>0</v>
      </c>
      <c r="O145" s="14">
        <f t="shared" ref="O145:O152" si="35">SUM(P145:R145)</f>
        <v>0</v>
      </c>
      <c r="P145" s="14">
        <f>SUM(P146:P147)</f>
        <v>0</v>
      </c>
      <c r="Q145" s="14">
        <f>SUM(Q146:Q147)</f>
        <v>0</v>
      </c>
      <c r="R145" s="14">
        <f>SUM(R146:R147)</f>
        <v>0</v>
      </c>
      <c r="S145" s="14">
        <f t="shared" ref="S145:S152" si="36">SUM(T145:V145)</f>
        <v>0</v>
      </c>
      <c r="T145" s="14">
        <f>SUM(T146:T147)</f>
        <v>0</v>
      </c>
      <c r="U145" s="14">
        <f>SUM(U146:U147)</f>
        <v>0</v>
      </c>
      <c r="V145" s="14">
        <f>SUM(V146:V147)</f>
        <v>0</v>
      </c>
      <c r="W145" s="91">
        <f t="shared" si="27"/>
        <v>0</v>
      </c>
      <c r="X145" s="92"/>
      <c r="Y145" s="93">
        <f t="shared" si="28"/>
        <v>0</v>
      </c>
      <c r="Z145" s="93"/>
    </row>
    <row r="146" spans="1:29" s="86" customFormat="1" ht="37.5" hidden="1" customHeight="1" x14ac:dyDescent="0.2">
      <c r="A146" s="34" t="s">
        <v>26</v>
      </c>
      <c r="B146" s="76" t="s">
        <v>167</v>
      </c>
      <c r="C146" s="26" t="s">
        <v>104</v>
      </c>
      <c r="D146" s="26"/>
      <c r="E146" s="26"/>
      <c r="F146" s="26" t="s">
        <v>93</v>
      </c>
      <c r="G146" s="41">
        <f>SUM(H146:J146)</f>
        <v>0</v>
      </c>
      <c r="H146" s="35">
        <v>0</v>
      </c>
      <c r="I146" s="41"/>
      <c r="J146" s="35">
        <v>0</v>
      </c>
      <c r="K146" s="41">
        <f t="shared" si="34"/>
        <v>0</v>
      </c>
      <c r="L146" s="35"/>
      <c r="M146" s="35"/>
      <c r="N146" s="35"/>
      <c r="O146" s="41">
        <f t="shared" si="35"/>
        <v>0</v>
      </c>
      <c r="P146" s="35"/>
      <c r="Q146" s="35"/>
      <c r="R146" s="35"/>
      <c r="S146" s="41">
        <f t="shared" si="36"/>
        <v>0</v>
      </c>
      <c r="T146" s="35"/>
      <c r="U146" s="35"/>
      <c r="V146" s="35"/>
      <c r="W146" s="83" t="e">
        <f t="shared" si="27"/>
        <v>#DIV/0!</v>
      </c>
      <c r="X146" s="84"/>
      <c r="Y146" s="85">
        <f t="shared" si="28"/>
        <v>0</v>
      </c>
      <c r="Z146" s="85"/>
    </row>
    <row r="147" spans="1:29" s="86" customFormat="1" ht="37.5" customHeight="1" x14ac:dyDescent="0.2">
      <c r="A147" s="34" t="s">
        <v>27</v>
      </c>
      <c r="B147" s="76" t="s">
        <v>168</v>
      </c>
      <c r="C147" s="26" t="s">
        <v>225</v>
      </c>
      <c r="D147" s="26"/>
      <c r="E147" s="26"/>
      <c r="F147" s="26" t="s">
        <v>93</v>
      </c>
      <c r="G147" s="41">
        <f>SUM(H147:J147)</f>
        <v>7000</v>
      </c>
      <c r="H147" s="35"/>
      <c r="I147" s="41">
        <v>7000</v>
      </c>
      <c r="J147" s="35"/>
      <c r="K147" s="41">
        <f t="shared" si="34"/>
        <v>6786</v>
      </c>
      <c r="L147" s="35"/>
      <c r="M147" s="35">
        <v>6786</v>
      </c>
      <c r="N147" s="35"/>
      <c r="O147" s="41">
        <f t="shared" si="35"/>
        <v>0</v>
      </c>
      <c r="P147" s="35"/>
      <c r="Q147" s="35"/>
      <c r="R147" s="35"/>
      <c r="S147" s="41">
        <f t="shared" si="36"/>
        <v>0</v>
      </c>
      <c r="T147" s="35"/>
      <c r="U147" s="35">
        <f>Q147</f>
        <v>0</v>
      </c>
      <c r="V147" s="35"/>
      <c r="W147" s="83">
        <f t="shared" si="27"/>
        <v>0</v>
      </c>
      <c r="X147" s="84"/>
      <c r="Y147" s="85">
        <f t="shared" si="28"/>
        <v>0</v>
      </c>
      <c r="Z147" s="85"/>
    </row>
    <row r="148" spans="1:29" s="95" customFormat="1" ht="42.75" customHeight="1" x14ac:dyDescent="0.2">
      <c r="A148" s="25">
        <v>2</v>
      </c>
      <c r="B148" s="25" t="s">
        <v>135</v>
      </c>
      <c r="C148" s="32"/>
      <c r="D148" s="32"/>
      <c r="E148" s="32"/>
      <c r="F148" s="32"/>
      <c r="G148" s="14">
        <f>H148+I148+J148</f>
        <v>177463.5</v>
      </c>
      <c r="H148" s="14">
        <f>H149+H150</f>
        <v>157548.20000000001</v>
      </c>
      <c r="I148" s="14">
        <f>I149+I150</f>
        <v>19915.3</v>
      </c>
      <c r="J148" s="14">
        <f>J150</f>
        <v>0</v>
      </c>
      <c r="K148" s="14">
        <f t="shared" si="34"/>
        <v>173978.2</v>
      </c>
      <c r="L148" s="14">
        <f>L149+L150</f>
        <v>157548.20000000001</v>
      </c>
      <c r="M148" s="14">
        <f>M149+M150</f>
        <v>16430</v>
      </c>
      <c r="N148" s="14">
        <f>N149+N150</f>
        <v>0</v>
      </c>
      <c r="O148" s="14">
        <f t="shared" si="35"/>
        <v>6430</v>
      </c>
      <c r="P148" s="14">
        <f>P149+P150</f>
        <v>0</v>
      </c>
      <c r="Q148" s="14">
        <f>Q149+Q150</f>
        <v>6430</v>
      </c>
      <c r="R148" s="14">
        <f>R149+R150</f>
        <v>0</v>
      </c>
      <c r="S148" s="14">
        <f t="shared" si="36"/>
        <v>6430</v>
      </c>
      <c r="T148" s="14">
        <f>T149+T150</f>
        <v>0</v>
      </c>
      <c r="U148" s="14">
        <f>U149+U150</f>
        <v>6430</v>
      </c>
      <c r="V148" s="14">
        <f>V149+V150</f>
        <v>0</v>
      </c>
      <c r="W148" s="91">
        <f t="shared" si="27"/>
        <v>3.695865344048852</v>
      </c>
      <c r="X148" s="92"/>
      <c r="Y148" s="93">
        <f t="shared" si="28"/>
        <v>0</v>
      </c>
      <c r="Z148" s="93"/>
    </row>
    <row r="149" spans="1:29" s="45" customFormat="1" ht="58.5" customHeight="1" x14ac:dyDescent="0.2">
      <c r="A149" s="34" t="s">
        <v>29</v>
      </c>
      <c r="B149" s="76" t="s">
        <v>290</v>
      </c>
      <c r="C149" s="26" t="s">
        <v>226</v>
      </c>
      <c r="D149" s="26"/>
      <c r="E149" s="26"/>
      <c r="F149" s="26" t="s">
        <v>93</v>
      </c>
      <c r="G149" s="41">
        <f>SUM(H149:J149)</f>
        <v>167463.5</v>
      </c>
      <c r="H149" s="35">
        <v>157548.20000000001</v>
      </c>
      <c r="I149" s="41">
        <v>9915.2999999999993</v>
      </c>
      <c r="J149" s="35">
        <v>0</v>
      </c>
      <c r="K149" s="41">
        <f t="shared" si="34"/>
        <v>163978.20000000001</v>
      </c>
      <c r="L149" s="35">
        <v>157548.20000000001</v>
      </c>
      <c r="M149" s="35">
        <v>6430</v>
      </c>
      <c r="N149" s="35"/>
      <c r="O149" s="41">
        <f>SUM(P149:R149)</f>
        <v>6430</v>
      </c>
      <c r="P149" s="35"/>
      <c r="Q149" s="35">
        <v>6430</v>
      </c>
      <c r="R149" s="35"/>
      <c r="S149" s="41">
        <f>SUM(T149:V149)</f>
        <v>6430</v>
      </c>
      <c r="T149" s="35"/>
      <c r="U149" s="35">
        <f>Q149</f>
        <v>6430</v>
      </c>
      <c r="V149" s="35"/>
      <c r="W149" s="79"/>
      <c r="X149" s="46"/>
      <c r="Y149" s="80"/>
      <c r="Z149" s="80"/>
    </row>
    <row r="150" spans="1:29" s="45" customFormat="1" ht="72.75" customHeight="1" x14ac:dyDescent="0.2">
      <c r="A150" s="34" t="s">
        <v>33</v>
      </c>
      <c r="B150" s="76" t="s">
        <v>289</v>
      </c>
      <c r="C150" s="26"/>
      <c r="D150" s="26"/>
      <c r="E150" s="26"/>
      <c r="F150" s="26"/>
      <c r="G150" s="41">
        <f>SUM(H150:J150)</f>
        <v>10000</v>
      </c>
      <c r="H150" s="35"/>
      <c r="I150" s="41">
        <v>10000</v>
      </c>
      <c r="J150" s="35">
        <v>0</v>
      </c>
      <c r="K150" s="41">
        <f t="shared" si="34"/>
        <v>10000</v>
      </c>
      <c r="L150" s="35"/>
      <c r="M150" s="35">
        <v>10000</v>
      </c>
      <c r="N150" s="35"/>
      <c r="O150" s="41">
        <f t="shared" si="35"/>
        <v>0</v>
      </c>
      <c r="P150" s="35"/>
      <c r="Q150" s="35">
        <v>0</v>
      </c>
      <c r="R150" s="35"/>
      <c r="S150" s="41">
        <f t="shared" si="36"/>
        <v>0</v>
      </c>
      <c r="T150" s="35"/>
      <c r="U150" s="35">
        <f>Q150</f>
        <v>0</v>
      </c>
      <c r="V150" s="35"/>
      <c r="W150" s="79">
        <f t="shared" si="27"/>
        <v>0</v>
      </c>
      <c r="X150" s="46"/>
      <c r="Y150" s="80">
        <f t="shared" si="28"/>
        <v>0</v>
      </c>
      <c r="Z150" s="80"/>
    </row>
    <row r="151" spans="1:29" s="95" customFormat="1" ht="86.25" customHeight="1" x14ac:dyDescent="0.2">
      <c r="A151" s="25">
        <v>3</v>
      </c>
      <c r="B151" s="25" t="s">
        <v>132</v>
      </c>
      <c r="C151" s="32"/>
      <c r="D151" s="32"/>
      <c r="E151" s="32"/>
      <c r="F151" s="32"/>
      <c r="G151" s="14">
        <f>H151+I151+J151</f>
        <v>67709.399999999994</v>
      </c>
      <c r="H151" s="14">
        <f>H152</f>
        <v>49604.800000000003</v>
      </c>
      <c r="I151" s="14">
        <f>I152</f>
        <v>18104.599999999999</v>
      </c>
      <c r="J151" s="14">
        <f>J152</f>
        <v>0</v>
      </c>
      <c r="K151" s="14">
        <f t="shared" si="34"/>
        <v>67709.399999999994</v>
      </c>
      <c r="L151" s="14">
        <f>L152</f>
        <v>49604.800000000003</v>
      </c>
      <c r="M151" s="14">
        <f>M152</f>
        <v>18104.599999999999</v>
      </c>
      <c r="N151" s="14">
        <f>N152</f>
        <v>0</v>
      </c>
      <c r="O151" s="14">
        <f t="shared" si="35"/>
        <v>0</v>
      </c>
      <c r="P151" s="14">
        <f>P152</f>
        <v>0</v>
      </c>
      <c r="Q151" s="14">
        <f>Q152</f>
        <v>0</v>
      </c>
      <c r="R151" s="14">
        <f>R152</f>
        <v>0</v>
      </c>
      <c r="S151" s="14">
        <f t="shared" si="36"/>
        <v>0</v>
      </c>
      <c r="T151" s="14">
        <f>T152</f>
        <v>0</v>
      </c>
      <c r="U151" s="14">
        <f>U152</f>
        <v>0</v>
      </c>
      <c r="V151" s="14">
        <f>V152</f>
        <v>0</v>
      </c>
      <c r="W151" s="91">
        <f t="shared" si="27"/>
        <v>0</v>
      </c>
      <c r="X151" s="92"/>
      <c r="Y151" s="93">
        <f t="shared" si="28"/>
        <v>0</v>
      </c>
      <c r="Z151" s="93"/>
    </row>
    <row r="152" spans="1:29" s="45" customFormat="1" ht="77.25" customHeight="1" x14ac:dyDescent="0.2">
      <c r="A152" s="34" t="s">
        <v>30</v>
      </c>
      <c r="B152" s="76" t="s">
        <v>291</v>
      </c>
      <c r="C152" s="26" t="s">
        <v>227</v>
      </c>
      <c r="D152" s="26"/>
      <c r="E152" s="26"/>
      <c r="F152" s="26" t="s">
        <v>93</v>
      </c>
      <c r="G152" s="41">
        <f>SUM(H152:J152)</f>
        <v>67709.399999999994</v>
      </c>
      <c r="H152" s="35">
        <v>49604.800000000003</v>
      </c>
      <c r="I152" s="41">
        <v>18104.599999999999</v>
      </c>
      <c r="J152" s="35">
        <v>0</v>
      </c>
      <c r="K152" s="41">
        <f t="shared" si="34"/>
        <v>67709.399999999994</v>
      </c>
      <c r="L152" s="35">
        <v>49604.800000000003</v>
      </c>
      <c r="M152" s="41">
        <v>18104.599999999999</v>
      </c>
      <c r="N152" s="35"/>
      <c r="O152" s="41">
        <f t="shared" si="35"/>
        <v>0</v>
      </c>
      <c r="P152" s="35"/>
      <c r="Q152" s="35"/>
      <c r="R152" s="35"/>
      <c r="S152" s="41">
        <f t="shared" si="36"/>
        <v>0</v>
      </c>
      <c r="T152" s="35"/>
      <c r="U152" s="35">
        <f>Q152</f>
        <v>0</v>
      </c>
      <c r="V152" s="35"/>
      <c r="W152" s="79">
        <f t="shared" si="27"/>
        <v>0</v>
      </c>
      <c r="X152" s="46"/>
      <c r="Y152" s="80">
        <f t="shared" si="28"/>
        <v>0</v>
      </c>
      <c r="Z152" s="80"/>
    </row>
    <row r="153" spans="1:29" ht="48.75" customHeight="1" x14ac:dyDescent="0.2">
      <c r="A153" s="109" t="s">
        <v>169</v>
      </c>
      <c r="B153" s="109"/>
      <c r="C153" s="30"/>
      <c r="D153" s="30"/>
      <c r="E153" s="30"/>
      <c r="F153" s="30"/>
      <c r="G153" s="11">
        <f>SUM(H153:J153)</f>
        <v>1019810</v>
      </c>
      <c r="H153" s="11">
        <f>H154+H169</f>
        <v>5283</v>
      </c>
      <c r="I153" s="11">
        <f>I154+I169</f>
        <v>1014527</v>
      </c>
      <c r="J153" s="11">
        <f>J154+J169</f>
        <v>0</v>
      </c>
      <c r="K153" s="11">
        <f t="shared" si="34"/>
        <v>1025324.1000000001</v>
      </c>
      <c r="L153" s="11">
        <f>L154+L169</f>
        <v>5283</v>
      </c>
      <c r="M153" s="11">
        <f>M154+M169</f>
        <v>1020041.1000000001</v>
      </c>
      <c r="N153" s="11">
        <f>N154+N169</f>
        <v>0</v>
      </c>
      <c r="O153" s="11">
        <f>SUM(P153:R153)</f>
        <v>749596.64604999986</v>
      </c>
      <c r="P153" s="11">
        <f>P154+P169</f>
        <v>3925.0521299999996</v>
      </c>
      <c r="Q153" s="11">
        <f>Q154+Q169</f>
        <v>745671.5939199999</v>
      </c>
      <c r="R153" s="11">
        <f>R154+R169</f>
        <v>0</v>
      </c>
      <c r="S153" s="11">
        <f>SUM(T153:V153)</f>
        <v>747086.33219999995</v>
      </c>
      <c r="T153" s="11">
        <f>T154+T169</f>
        <v>3925.0521299999996</v>
      </c>
      <c r="U153" s="11">
        <f>U154+U169</f>
        <v>743161.28006999998</v>
      </c>
      <c r="V153" s="11">
        <f>V154+V169</f>
        <v>0</v>
      </c>
      <c r="W153" s="22">
        <f t="shared" si="27"/>
        <v>72.863432372261599</v>
      </c>
      <c r="X153" s="46"/>
      <c r="Y153" s="48">
        <f t="shared" si="28"/>
        <v>2510.3138499999186</v>
      </c>
      <c r="Z153" s="48"/>
      <c r="AA153" s="45"/>
      <c r="AB153" s="45"/>
      <c r="AC153" s="45"/>
    </row>
    <row r="154" spans="1:29" ht="54.75" customHeight="1" x14ac:dyDescent="0.2">
      <c r="A154" s="25">
        <v>1</v>
      </c>
      <c r="B154" s="25" t="s">
        <v>23</v>
      </c>
      <c r="C154" s="32"/>
      <c r="D154" s="32"/>
      <c r="E154" s="32"/>
      <c r="F154" s="32"/>
      <c r="G154" s="14">
        <f>H154+I154+J154</f>
        <v>74468.3</v>
      </c>
      <c r="H154" s="14">
        <f>SUM(H155:H168)</f>
        <v>5283</v>
      </c>
      <c r="I154" s="14">
        <f>SUM(I155:I168)</f>
        <v>69185.3</v>
      </c>
      <c r="J154" s="14">
        <f>SUM(J155:J168)</f>
        <v>0</v>
      </c>
      <c r="K154" s="14">
        <f>L154+M154+N154</f>
        <v>75168.3</v>
      </c>
      <c r="L154" s="14">
        <f>SUM(L155:L168)</f>
        <v>5283</v>
      </c>
      <c r="M154" s="14">
        <f>SUM(M155:M168)</f>
        <v>69885.3</v>
      </c>
      <c r="N154" s="14">
        <f>SUM(N155:N168)</f>
        <v>0</v>
      </c>
      <c r="O154" s="14">
        <f>P154+Q154+R154</f>
        <v>57869.125049999995</v>
      </c>
      <c r="P154" s="14">
        <f>SUM(P155:P168)</f>
        <v>3925.0521299999996</v>
      </c>
      <c r="Q154" s="14">
        <f>SUM(Q155:Q168)</f>
        <v>53944.072919999999</v>
      </c>
      <c r="R154" s="14">
        <f>SUM(R155:R168)</f>
        <v>0</v>
      </c>
      <c r="S154" s="14">
        <f>T154+U154+V154</f>
        <v>55358.811199999996</v>
      </c>
      <c r="T154" s="14">
        <f>SUM(T155:T168)</f>
        <v>3925.0521299999996</v>
      </c>
      <c r="U154" s="14">
        <f>SUM(U155:U168)</f>
        <v>51433.75907</v>
      </c>
      <c r="V154" s="14">
        <f>SUM(V155:V168)</f>
        <v>0</v>
      </c>
      <c r="W154" s="22">
        <f t="shared" si="27"/>
        <v>73.646485553085526</v>
      </c>
      <c r="X154" s="46"/>
      <c r="Y154" s="48">
        <f t="shared" si="28"/>
        <v>2510.3138499999986</v>
      </c>
      <c r="Z154" s="48"/>
      <c r="AA154" s="45"/>
      <c r="AB154" s="45"/>
      <c r="AC154" s="45"/>
    </row>
    <row r="155" spans="1:29" ht="17.25" customHeight="1" x14ac:dyDescent="0.2">
      <c r="A155" s="124" t="s">
        <v>26</v>
      </c>
      <c r="B155" s="124" t="s">
        <v>170</v>
      </c>
      <c r="C155" s="31" t="s">
        <v>214</v>
      </c>
      <c r="D155" s="31"/>
      <c r="E155" s="31"/>
      <c r="F155" s="31" t="s">
        <v>69</v>
      </c>
      <c r="G155" s="10">
        <f t="shared" ref="G155:G172" si="37">H155+I155+J155</f>
        <v>49591.4</v>
      </c>
      <c r="H155" s="7"/>
      <c r="I155" s="10">
        <v>49591.4</v>
      </c>
      <c r="J155" s="9"/>
      <c r="K155" s="7">
        <f>SUM(L155:N155)</f>
        <v>49591.4</v>
      </c>
      <c r="L155" s="7"/>
      <c r="M155" s="10">
        <f>49523.4+68</f>
        <v>49591.4</v>
      </c>
      <c r="N155" s="7"/>
      <c r="O155" s="7">
        <f>SUM(P155:R155)</f>
        <v>38568</v>
      </c>
      <c r="P155" s="35"/>
      <c r="Q155" s="35">
        <f>38568000/1000</f>
        <v>38568</v>
      </c>
      <c r="R155" s="7"/>
      <c r="S155" s="7">
        <f>SUM(T155:V155)</f>
        <v>36749.573790000002</v>
      </c>
      <c r="T155" s="7"/>
      <c r="U155" s="7">
        <f>36749573.79/1000</f>
        <v>36749.573790000002</v>
      </c>
      <c r="V155" s="7"/>
      <c r="W155" s="22">
        <f t="shared" si="27"/>
        <v>74.104731445371584</v>
      </c>
      <c r="X155" s="46"/>
      <c r="Y155" s="48">
        <f t="shared" si="28"/>
        <v>1818.4262099999978</v>
      </c>
      <c r="Z155" s="48"/>
      <c r="AA155" s="45"/>
      <c r="AB155" s="45"/>
      <c r="AC155" s="45"/>
    </row>
    <row r="156" spans="1:29" ht="17.25" customHeight="1" x14ac:dyDescent="0.2">
      <c r="A156" s="125"/>
      <c r="B156" s="125"/>
      <c r="C156" s="31" t="s">
        <v>214</v>
      </c>
      <c r="D156" s="31"/>
      <c r="E156" s="31"/>
      <c r="F156" s="31" t="s">
        <v>68</v>
      </c>
      <c r="G156" s="10">
        <f t="shared" si="37"/>
        <v>1120</v>
      </c>
      <c r="H156" s="7"/>
      <c r="I156" s="10">
        <v>1120</v>
      </c>
      <c r="J156" s="9"/>
      <c r="K156" s="7">
        <f t="shared" ref="K156:K168" si="38">SUM(L156:N156)</f>
        <v>770</v>
      </c>
      <c r="L156" s="7"/>
      <c r="M156" s="10">
        <f>19+496.5+254.5</f>
        <v>770</v>
      </c>
      <c r="N156" s="7"/>
      <c r="O156" s="7">
        <f t="shared" ref="O156:O161" si="39">SUM(P156:R156)</f>
        <v>425.91758000000004</v>
      </c>
      <c r="P156" s="35"/>
      <c r="Q156" s="35">
        <f>425917.58/1000</f>
        <v>425.91758000000004</v>
      </c>
      <c r="R156" s="7"/>
      <c r="S156" s="7">
        <f t="shared" ref="S156:S161" si="40">SUM(T156:V156)</f>
        <v>416.42858000000001</v>
      </c>
      <c r="T156" s="7"/>
      <c r="U156" s="7">
        <f>416428.58/1000</f>
        <v>416.42858000000001</v>
      </c>
      <c r="V156" s="7"/>
      <c r="W156" s="22">
        <f t="shared" si="27"/>
        <v>54.081633766233765</v>
      </c>
      <c r="X156" s="46"/>
      <c r="Y156" s="48">
        <f t="shared" si="28"/>
        <v>9.4890000000000327</v>
      </c>
      <c r="Z156" s="48"/>
      <c r="AA156" s="45"/>
      <c r="AB156" s="45"/>
      <c r="AC156" s="45"/>
    </row>
    <row r="157" spans="1:29" ht="17.25" customHeight="1" x14ac:dyDescent="0.2">
      <c r="A157" s="125"/>
      <c r="B157" s="125"/>
      <c r="C157" s="31" t="s">
        <v>214</v>
      </c>
      <c r="D157" s="31"/>
      <c r="E157" s="31"/>
      <c r="F157" s="31" t="s">
        <v>70</v>
      </c>
      <c r="G157" s="10">
        <f t="shared" si="37"/>
        <v>13785.8</v>
      </c>
      <c r="H157" s="7"/>
      <c r="I157" s="10">
        <v>13785.8</v>
      </c>
      <c r="J157" s="9"/>
      <c r="K157" s="7">
        <f t="shared" si="38"/>
        <v>13785.8</v>
      </c>
      <c r="L157" s="7"/>
      <c r="M157" s="10">
        <v>13785.8</v>
      </c>
      <c r="N157" s="7"/>
      <c r="O157" s="7">
        <f t="shared" si="39"/>
        <v>10800</v>
      </c>
      <c r="P157" s="35"/>
      <c r="Q157" s="35">
        <f>10800000/1000</f>
        <v>10800</v>
      </c>
      <c r="R157" s="7"/>
      <c r="S157" s="7">
        <f t="shared" si="40"/>
        <v>10244.44196</v>
      </c>
      <c r="T157" s="7"/>
      <c r="U157" s="7">
        <f>10244441.96/1000</f>
        <v>10244.44196</v>
      </c>
      <c r="V157" s="7"/>
      <c r="W157" s="22">
        <f t="shared" si="27"/>
        <v>74.311552176877655</v>
      </c>
      <c r="X157" s="46"/>
      <c r="Y157" s="48">
        <f t="shared" si="28"/>
        <v>555.55803999999989</v>
      </c>
      <c r="Z157" s="48"/>
      <c r="AA157" s="45"/>
      <c r="AB157" s="45"/>
      <c r="AC157" s="45"/>
    </row>
    <row r="158" spans="1:29" ht="17.25" customHeight="1" x14ac:dyDescent="0.2">
      <c r="A158" s="125"/>
      <c r="B158" s="125"/>
      <c r="C158" s="31" t="s">
        <v>214</v>
      </c>
      <c r="D158" s="31"/>
      <c r="E158" s="31"/>
      <c r="F158" s="31" t="s">
        <v>56</v>
      </c>
      <c r="G158" s="10">
        <f t="shared" si="37"/>
        <v>2683</v>
      </c>
      <c r="H158" s="7"/>
      <c r="I158" s="10">
        <v>2683</v>
      </c>
      <c r="J158" s="9"/>
      <c r="K158" s="7">
        <f t="shared" si="38"/>
        <v>2683</v>
      </c>
      <c r="L158" s="7"/>
      <c r="M158" s="10">
        <f>240.5+40+200+992.5+90+615+505</f>
        <v>2683</v>
      </c>
      <c r="N158" s="7"/>
      <c r="O158" s="7">
        <f t="shared" si="39"/>
        <v>1265.4193400000001</v>
      </c>
      <c r="P158" s="35"/>
      <c r="Q158" s="35">
        <f>1265419.34/1000</f>
        <v>1265.4193400000001</v>
      </c>
      <c r="R158" s="7"/>
      <c r="S158" s="7">
        <f t="shared" si="40"/>
        <v>1265.4193400000001</v>
      </c>
      <c r="T158" s="7"/>
      <c r="U158" s="7">
        <f>1265419.34/1000</f>
        <v>1265.4193400000001</v>
      </c>
      <c r="V158" s="7"/>
      <c r="W158" s="22">
        <f t="shared" si="27"/>
        <v>47.164343645173318</v>
      </c>
      <c r="X158" s="46"/>
      <c r="Y158" s="48">
        <f t="shared" si="28"/>
        <v>0</v>
      </c>
      <c r="Z158" s="48"/>
      <c r="AA158" s="45"/>
      <c r="AB158" s="45"/>
      <c r="AC158" s="45"/>
    </row>
    <row r="159" spans="1:29" ht="17.25" customHeight="1" x14ac:dyDescent="0.2">
      <c r="A159" s="125"/>
      <c r="B159" s="125"/>
      <c r="C159" s="31" t="s">
        <v>214</v>
      </c>
      <c r="D159" s="31"/>
      <c r="E159" s="31"/>
      <c r="F159" s="31" t="s">
        <v>71</v>
      </c>
      <c r="G159" s="10">
        <f t="shared" si="37"/>
        <v>0</v>
      </c>
      <c r="H159" s="7"/>
      <c r="I159" s="10"/>
      <c r="J159" s="9"/>
      <c r="K159" s="7">
        <f t="shared" si="38"/>
        <v>0</v>
      </c>
      <c r="L159" s="7"/>
      <c r="M159" s="10"/>
      <c r="N159" s="7"/>
      <c r="O159" s="7">
        <f t="shared" si="39"/>
        <v>0</v>
      </c>
      <c r="P159" s="35"/>
      <c r="Q159" s="35"/>
      <c r="R159" s="7"/>
      <c r="S159" s="7">
        <f t="shared" si="40"/>
        <v>0</v>
      </c>
      <c r="T159" s="7"/>
      <c r="U159" s="7">
        <v>0</v>
      </c>
      <c r="V159" s="7"/>
      <c r="W159" s="22" t="e">
        <f t="shared" si="27"/>
        <v>#DIV/0!</v>
      </c>
      <c r="X159" s="46"/>
      <c r="Y159" s="48">
        <f t="shared" si="28"/>
        <v>0</v>
      </c>
      <c r="Z159" s="48"/>
      <c r="AA159" s="45"/>
      <c r="AB159" s="45"/>
      <c r="AC159" s="45"/>
    </row>
    <row r="160" spans="1:29" ht="17.25" customHeight="1" x14ac:dyDescent="0.2">
      <c r="A160" s="125"/>
      <c r="B160" s="125"/>
      <c r="C160" s="31" t="s">
        <v>214</v>
      </c>
      <c r="D160" s="31"/>
      <c r="E160" s="31"/>
      <c r="F160" s="31" t="s">
        <v>72</v>
      </c>
      <c r="G160" s="10">
        <f t="shared" si="37"/>
        <v>20</v>
      </c>
      <c r="H160" s="7"/>
      <c r="I160" s="10">
        <v>20</v>
      </c>
      <c r="J160" s="9"/>
      <c r="K160" s="7">
        <f t="shared" si="38"/>
        <v>20</v>
      </c>
      <c r="L160" s="7"/>
      <c r="M160" s="10">
        <v>20</v>
      </c>
      <c r="N160" s="7"/>
      <c r="O160" s="7">
        <f t="shared" si="39"/>
        <v>0</v>
      </c>
      <c r="P160" s="35"/>
      <c r="Q160" s="35"/>
      <c r="R160" s="7"/>
      <c r="S160" s="7">
        <f t="shared" si="40"/>
        <v>0</v>
      </c>
      <c r="T160" s="7"/>
      <c r="U160" s="7">
        <v>0</v>
      </c>
      <c r="V160" s="7"/>
      <c r="W160" s="22">
        <f t="shared" si="27"/>
        <v>0</v>
      </c>
      <c r="X160" s="46"/>
      <c r="Y160" s="48">
        <f t="shared" si="28"/>
        <v>0</v>
      </c>
      <c r="Z160" s="48"/>
      <c r="AA160" s="45"/>
      <c r="AB160" s="45"/>
      <c r="AC160" s="45"/>
    </row>
    <row r="161" spans="1:29" ht="17.25" customHeight="1" x14ac:dyDescent="0.2">
      <c r="A161" s="125"/>
      <c r="B161" s="125"/>
      <c r="C161" s="31" t="s">
        <v>214</v>
      </c>
      <c r="D161" s="31"/>
      <c r="E161" s="31"/>
      <c r="F161" s="31" t="s">
        <v>75</v>
      </c>
      <c r="G161" s="10">
        <f t="shared" si="37"/>
        <v>0</v>
      </c>
      <c r="H161" s="7"/>
      <c r="I161" s="10"/>
      <c r="J161" s="9"/>
      <c r="K161" s="7">
        <f t="shared" si="38"/>
        <v>0</v>
      </c>
      <c r="L161" s="7"/>
      <c r="M161" s="10"/>
      <c r="N161" s="7"/>
      <c r="O161" s="7">
        <f t="shared" si="39"/>
        <v>0</v>
      </c>
      <c r="P161" s="35"/>
      <c r="Q161" s="35"/>
      <c r="R161" s="7"/>
      <c r="S161" s="7">
        <f t="shared" si="40"/>
        <v>0</v>
      </c>
      <c r="T161" s="7"/>
      <c r="U161" s="7">
        <v>0</v>
      </c>
      <c r="V161" s="7"/>
      <c r="W161" s="22" t="e">
        <f t="shared" si="27"/>
        <v>#DIV/0!</v>
      </c>
      <c r="X161" s="46"/>
      <c r="Y161" s="48">
        <f t="shared" si="28"/>
        <v>0</v>
      </c>
      <c r="Z161" s="48"/>
      <c r="AA161" s="45"/>
      <c r="AB161" s="45"/>
      <c r="AC161" s="45"/>
    </row>
    <row r="162" spans="1:29" ht="22.5" customHeight="1" x14ac:dyDescent="0.2">
      <c r="A162" s="122" t="s">
        <v>27</v>
      </c>
      <c r="B162" s="100" t="s">
        <v>292</v>
      </c>
      <c r="C162" s="31"/>
      <c r="D162" s="31" t="s">
        <v>215</v>
      </c>
      <c r="E162" s="31"/>
      <c r="F162" s="31" t="s">
        <v>69</v>
      </c>
      <c r="G162" s="10">
        <f t="shared" si="37"/>
        <v>3862.6</v>
      </c>
      <c r="H162" s="7">
        <v>3862.6</v>
      </c>
      <c r="I162" s="7"/>
      <c r="J162" s="9"/>
      <c r="K162" s="7">
        <f t="shared" si="38"/>
        <v>4117.2</v>
      </c>
      <c r="L162" s="35">
        <f>4103.2+14</f>
        <v>4117.2</v>
      </c>
      <c r="M162" s="7"/>
      <c r="N162" s="7"/>
      <c r="O162" s="7">
        <f>SUM(P162:R162)</f>
        <v>3029.5548599999997</v>
      </c>
      <c r="P162" s="35">
        <f>3029554.86/1000</f>
        <v>3029.5548599999997</v>
      </c>
      <c r="Q162" s="35"/>
      <c r="R162" s="7"/>
      <c r="S162" s="7">
        <f t="shared" ref="S162:S168" si="41">SUM(T162:V162)</f>
        <v>3029.5548599999997</v>
      </c>
      <c r="T162" s="7">
        <v>3029.5548599999997</v>
      </c>
      <c r="U162" s="7"/>
      <c r="V162" s="7"/>
      <c r="W162" s="22">
        <f t="shared" si="27"/>
        <v>73.582892742640624</v>
      </c>
      <c r="X162" s="46"/>
      <c r="Y162" s="48">
        <f t="shared" si="28"/>
        <v>0</v>
      </c>
      <c r="Z162" s="48"/>
      <c r="AA162" s="45"/>
      <c r="AB162" s="45"/>
      <c r="AC162" s="45"/>
    </row>
    <row r="163" spans="1:29" ht="22.5" customHeight="1" x14ac:dyDescent="0.2">
      <c r="A163" s="127"/>
      <c r="B163" s="131"/>
      <c r="C163" s="31"/>
      <c r="D163" s="31" t="s">
        <v>215</v>
      </c>
      <c r="E163" s="31"/>
      <c r="F163" s="31" t="s">
        <v>68</v>
      </c>
      <c r="G163" s="10">
        <f t="shared" si="37"/>
        <v>157.80000000000001</v>
      </c>
      <c r="H163" s="7">
        <v>157.80000000000001</v>
      </c>
      <c r="I163" s="7"/>
      <c r="J163" s="9"/>
      <c r="K163" s="7">
        <f t="shared" si="38"/>
        <v>0</v>
      </c>
      <c r="L163" s="35"/>
      <c r="M163" s="7"/>
      <c r="N163" s="7"/>
      <c r="O163" s="7">
        <f>SUM(P163:R163)</f>
        <v>0</v>
      </c>
      <c r="P163" s="35">
        <v>0</v>
      </c>
      <c r="Q163" s="35">
        <f>U163</f>
        <v>0</v>
      </c>
      <c r="R163" s="7"/>
      <c r="S163" s="7">
        <f t="shared" si="41"/>
        <v>0</v>
      </c>
      <c r="T163" s="7">
        <v>0</v>
      </c>
      <c r="U163" s="7"/>
      <c r="V163" s="7"/>
      <c r="W163" s="22" t="e">
        <f t="shared" ref="W163:W177" si="42">S163*100/K163</f>
        <v>#DIV/0!</v>
      </c>
      <c r="X163" s="46"/>
      <c r="Y163" s="48">
        <f t="shared" ref="Y163:Y177" si="43">O163-S163</f>
        <v>0</v>
      </c>
      <c r="Z163" s="48"/>
      <c r="AA163" s="45"/>
      <c r="AB163" s="45"/>
      <c r="AC163" s="45"/>
    </row>
    <row r="164" spans="1:29" ht="22.5" customHeight="1" x14ac:dyDescent="0.2">
      <c r="A164" s="127"/>
      <c r="B164" s="131"/>
      <c r="C164" s="31"/>
      <c r="D164" s="31" t="s">
        <v>215</v>
      </c>
      <c r="E164" s="31"/>
      <c r="F164" s="31" t="s">
        <v>70</v>
      </c>
      <c r="G164" s="10">
        <f t="shared" si="37"/>
        <v>1157</v>
      </c>
      <c r="H164" s="7">
        <v>1157</v>
      </c>
      <c r="I164" s="7"/>
      <c r="J164" s="9"/>
      <c r="K164" s="7">
        <f t="shared" si="38"/>
        <v>1157</v>
      </c>
      <c r="L164" s="35">
        <v>1157</v>
      </c>
      <c r="M164" s="7"/>
      <c r="N164" s="7"/>
      <c r="O164" s="7">
        <f>SUM(P164:R164)</f>
        <v>886.75913000000003</v>
      </c>
      <c r="P164" s="35">
        <f>886759.13/1000</f>
        <v>886.75913000000003</v>
      </c>
      <c r="Q164" s="35"/>
      <c r="R164" s="7"/>
      <c r="S164" s="7">
        <f t="shared" si="41"/>
        <v>886.75913000000003</v>
      </c>
      <c r="T164" s="7">
        <v>886.75913000000003</v>
      </c>
      <c r="U164" s="7"/>
      <c r="V164" s="7"/>
      <c r="W164" s="22">
        <f t="shared" si="42"/>
        <v>76.64296715643907</v>
      </c>
      <c r="X164" s="46"/>
      <c r="Y164" s="48">
        <f t="shared" si="43"/>
        <v>0</v>
      </c>
      <c r="Z164" s="48"/>
      <c r="AA164" s="45"/>
      <c r="AB164" s="45"/>
      <c r="AC164" s="45"/>
    </row>
    <row r="165" spans="1:29" ht="22.5" customHeight="1" x14ac:dyDescent="0.2">
      <c r="A165" s="123"/>
      <c r="B165" s="101"/>
      <c r="C165" s="31"/>
      <c r="D165" s="31" t="s">
        <v>215</v>
      </c>
      <c r="E165" s="31"/>
      <c r="F165" s="31" t="s">
        <v>56</v>
      </c>
      <c r="G165" s="10">
        <f t="shared" si="37"/>
        <v>105.6</v>
      </c>
      <c r="H165" s="7">
        <v>105.6</v>
      </c>
      <c r="I165" s="7"/>
      <c r="J165" s="9"/>
      <c r="K165" s="7">
        <f t="shared" si="38"/>
        <v>8.8000000000000007</v>
      </c>
      <c r="L165" s="35">
        <v>8.8000000000000007</v>
      </c>
      <c r="M165" s="7"/>
      <c r="N165" s="7"/>
      <c r="O165" s="7">
        <f>SUM(P165:R165)</f>
        <v>8.7381399999999996</v>
      </c>
      <c r="P165" s="35">
        <f>8738.14/1000</f>
        <v>8.7381399999999996</v>
      </c>
      <c r="Q165" s="35"/>
      <c r="R165" s="7"/>
      <c r="S165" s="7">
        <f t="shared" si="41"/>
        <v>8.7381399999999996</v>
      </c>
      <c r="T165" s="7">
        <v>8.7381399999999996</v>
      </c>
      <c r="U165" s="7"/>
      <c r="V165" s="7"/>
      <c r="W165" s="22">
        <f t="shared" si="42"/>
        <v>99.29704545454544</v>
      </c>
      <c r="X165" s="46"/>
      <c r="Y165" s="48">
        <f t="shared" si="43"/>
        <v>0</v>
      </c>
      <c r="Z165" s="48"/>
      <c r="AA165" s="45"/>
      <c r="AB165" s="45"/>
      <c r="AC165" s="45"/>
    </row>
    <row r="166" spans="1:29" ht="44.25" customHeight="1" x14ac:dyDescent="0.2">
      <c r="A166" s="122" t="s">
        <v>32</v>
      </c>
      <c r="B166" s="132" t="s">
        <v>293</v>
      </c>
      <c r="C166" s="31" t="s">
        <v>216</v>
      </c>
      <c r="D166" s="31"/>
      <c r="E166" s="31"/>
      <c r="F166" s="31" t="s">
        <v>68</v>
      </c>
      <c r="G166" s="10">
        <f t="shared" si="37"/>
        <v>1985.1</v>
      </c>
      <c r="H166" s="7"/>
      <c r="I166" s="10">
        <v>1985.1</v>
      </c>
      <c r="J166" s="9"/>
      <c r="K166" s="7">
        <f t="shared" si="38"/>
        <v>2655.1</v>
      </c>
      <c r="L166" s="7"/>
      <c r="M166" s="10">
        <v>2655.1</v>
      </c>
      <c r="N166" s="7"/>
      <c r="O166" s="7">
        <f>SUM(P166:R166)</f>
        <v>2655.1</v>
      </c>
      <c r="P166" s="35"/>
      <c r="Q166" s="35">
        <f>2655100/1000</f>
        <v>2655.1</v>
      </c>
      <c r="R166" s="7"/>
      <c r="S166" s="7">
        <f t="shared" si="41"/>
        <v>2528.2593999999999</v>
      </c>
      <c r="T166" s="7"/>
      <c r="U166" s="7">
        <f>2528259.4/1000</f>
        <v>2528.2593999999999</v>
      </c>
      <c r="V166" s="7"/>
      <c r="W166" s="22">
        <f t="shared" si="42"/>
        <v>95.22275620503936</v>
      </c>
      <c r="X166" s="46"/>
      <c r="Y166" s="48">
        <f t="shared" si="43"/>
        <v>126.84059999999999</v>
      </c>
      <c r="Z166" s="48"/>
      <c r="AA166" s="45"/>
      <c r="AB166" s="45"/>
      <c r="AC166" s="45"/>
    </row>
    <row r="167" spans="1:29" ht="46.5" customHeight="1" x14ac:dyDescent="0.2">
      <c r="A167" s="127"/>
      <c r="B167" s="133"/>
      <c r="C167" s="31" t="s">
        <v>217</v>
      </c>
      <c r="D167" s="31"/>
      <c r="E167" s="31"/>
      <c r="F167" s="31" t="s">
        <v>65</v>
      </c>
      <c r="G167" s="10">
        <f>H167+I167+J167</f>
        <v>0</v>
      </c>
      <c r="H167" s="7"/>
      <c r="I167" s="10"/>
      <c r="J167" s="9"/>
      <c r="K167" s="7">
        <f>SUM(L167:N167)</f>
        <v>30</v>
      </c>
      <c r="L167" s="7"/>
      <c r="M167" s="10">
        <v>30</v>
      </c>
      <c r="N167" s="7"/>
      <c r="O167" s="7"/>
      <c r="P167" s="35"/>
      <c r="Q167" s="35">
        <f>29636/1000</f>
        <v>29.635999999999999</v>
      </c>
      <c r="R167" s="7"/>
      <c r="S167" s="7">
        <f t="shared" si="41"/>
        <v>29.635999999999999</v>
      </c>
      <c r="T167" s="7"/>
      <c r="U167" s="7">
        <f>29636/1000</f>
        <v>29.635999999999999</v>
      </c>
      <c r="V167" s="7"/>
      <c r="W167" s="22"/>
      <c r="X167" s="46"/>
      <c r="Y167" s="48"/>
      <c r="Z167" s="48"/>
      <c r="AA167" s="45"/>
      <c r="AB167" s="45"/>
      <c r="AC167" s="45"/>
    </row>
    <row r="168" spans="1:29" ht="47.25" customHeight="1" x14ac:dyDescent="0.2">
      <c r="A168" s="127"/>
      <c r="B168" s="133"/>
      <c r="C168" s="26" t="s">
        <v>277</v>
      </c>
      <c r="D168" s="26"/>
      <c r="E168" s="26"/>
      <c r="F168" s="26" t="s">
        <v>68</v>
      </c>
      <c r="G168" s="41">
        <f t="shared" si="37"/>
        <v>0</v>
      </c>
      <c r="H168" s="35"/>
      <c r="I168" s="41"/>
      <c r="J168" s="69"/>
      <c r="K168" s="35">
        <f t="shared" si="38"/>
        <v>350</v>
      </c>
      <c r="L168" s="35"/>
      <c r="M168" s="41">
        <v>350</v>
      </c>
      <c r="N168" s="7"/>
      <c r="O168" s="7">
        <f>SUM(P168:R168)</f>
        <v>200</v>
      </c>
      <c r="P168" s="35"/>
      <c r="Q168" s="35">
        <f>200000/1000</f>
        <v>200</v>
      </c>
      <c r="R168" s="7"/>
      <c r="S168" s="7">
        <f t="shared" si="41"/>
        <v>200</v>
      </c>
      <c r="T168" s="7"/>
      <c r="U168" s="7">
        <v>200</v>
      </c>
      <c r="V168" s="7"/>
      <c r="W168" s="22">
        <f t="shared" si="42"/>
        <v>57.142857142857146</v>
      </c>
      <c r="X168" s="46"/>
      <c r="Y168" s="48">
        <f t="shared" si="43"/>
        <v>0</v>
      </c>
      <c r="Z168" s="48"/>
      <c r="AA168" s="45"/>
      <c r="AB168" s="45"/>
      <c r="AC168" s="45"/>
    </row>
    <row r="169" spans="1:29" ht="45.75" customHeight="1" x14ac:dyDescent="0.2">
      <c r="A169" s="25">
        <v>2</v>
      </c>
      <c r="B169" s="25" t="s">
        <v>77</v>
      </c>
      <c r="C169" s="32"/>
      <c r="D169" s="32"/>
      <c r="E169" s="32"/>
      <c r="F169" s="32"/>
      <c r="G169" s="14">
        <f t="shared" si="37"/>
        <v>945341.7</v>
      </c>
      <c r="H169" s="14">
        <f>SUM(H170:H177)</f>
        <v>0</v>
      </c>
      <c r="I169" s="14">
        <f>SUM(I170:I177)</f>
        <v>945341.7</v>
      </c>
      <c r="J169" s="14">
        <f>SUM(J170:J177)</f>
        <v>0</v>
      </c>
      <c r="K169" s="14">
        <f>L169+M169+N169</f>
        <v>950155.8</v>
      </c>
      <c r="L169" s="14">
        <f>SUM(L170:L177)</f>
        <v>0</v>
      </c>
      <c r="M169" s="14">
        <f>SUM(M170:M177)</f>
        <v>950155.8</v>
      </c>
      <c r="N169" s="14">
        <f>SUM(N170:N177)</f>
        <v>0</v>
      </c>
      <c r="O169" s="14">
        <f>P169+Q169+R169</f>
        <v>691727.52099999995</v>
      </c>
      <c r="P169" s="14">
        <f>SUM(P170:P177)</f>
        <v>0</v>
      </c>
      <c r="Q169" s="14">
        <f>SUM(Q170:Q177)</f>
        <v>691727.52099999995</v>
      </c>
      <c r="R169" s="14">
        <f>SUM(R170:R177)</f>
        <v>0</v>
      </c>
      <c r="S169" s="14">
        <f>T169+U169+V169</f>
        <v>691727.52099999995</v>
      </c>
      <c r="T169" s="14">
        <f>SUM(T170:T177)</f>
        <v>0</v>
      </c>
      <c r="U169" s="14">
        <f>SUM(U170:U177)</f>
        <v>691727.52099999995</v>
      </c>
      <c r="V169" s="14">
        <f>SUM(V170:V177)</f>
        <v>0</v>
      </c>
      <c r="W169" s="22">
        <f t="shared" si="42"/>
        <v>72.801483819811438</v>
      </c>
      <c r="X169" s="46"/>
      <c r="Y169" s="48">
        <f t="shared" si="43"/>
        <v>0</v>
      </c>
      <c r="Z169" s="48"/>
      <c r="AA169" s="45"/>
      <c r="AB169" s="45"/>
      <c r="AC169" s="45"/>
    </row>
    <row r="170" spans="1:29" ht="55.5" customHeight="1" x14ac:dyDescent="0.2">
      <c r="A170" s="26" t="s">
        <v>29</v>
      </c>
      <c r="B170" s="28" t="s">
        <v>294</v>
      </c>
      <c r="C170" s="31" t="s">
        <v>218</v>
      </c>
      <c r="D170" s="31"/>
      <c r="E170" s="31"/>
      <c r="F170" s="31" t="s">
        <v>73</v>
      </c>
      <c r="G170" s="10">
        <f t="shared" si="37"/>
        <v>143435.6</v>
      </c>
      <c r="H170" s="7">
        <v>0</v>
      </c>
      <c r="I170" s="10">
        <v>143435.6</v>
      </c>
      <c r="J170" s="7">
        <v>0</v>
      </c>
      <c r="K170" s="7">
        <f>SUM(L170:N170)</f>
        <v>143435.6</v>
      </c>
      <c r="L170" s="7"/>
      <c r="M170" s="10">
        <v>143435.6</v>
      </c>
      <c r="N170" s="7"/>
      <c r="O170" s="7">
        <f t="shared" ref="O170:O177" si="44">SUM(P170:R170)</f>
        <v>111000</v>
      </c>
      <c r="P170" s="7"/>
      <c r="Q170" s="35">
        <f>111000000/1000</f>
        <v>111000</v>
      </c>
      <c r="R170" s="7"/>
      <c r="S170" s="7">
        <f t="shared" ref="S170:S177" si="45">SUM(T170:V170)</f>
        <v>111000</v>
      </c>
      <c r="T170" s="7"/>
      <c r="U170" s="10">
        <v>111000</v>
      </c>
      <c r="V170" s="7"/>
      <c r="W170" s="22">
        <f t="shared" si="42"/>
        <v>77.386645993044965</v>
      </c>
      <c r="X170" s="46"/>
      <c r="Y170" s="48">
        <f t="shared" si="43"/>
        <v>0</v>
      </c>
      <c r="Z170" s="48"/>
    </row>
    <row r="171" spans="1:29" ht="33.75" customHeight="1" x14ac:dyDescent="0.2">
      <c r="A171" s="26" t="s">
        <v>33</v>
      </c>
      <c r="B171" s="28" t="s">
        <v>171</v>
      </c>
      <c r="C171" s="31" t="s">
        <v>219</v>
      </c>
      <c r="D171" s="31"/>
      <c r="E171" s="31"/>
      <c r="F171" s="31" t="s">
        <v>73</v>
      </c>
      <c r="G171" s="10">
        <f t="shared" si="37"/>
        <v>680077.9</v>
      </c>
      <c r="H171" s="7">
        <v>0</v>
      </c>
      <c r="I171" s="10">
        <v>680077.9</v>
      </c>
      <c r="J171" s="7">
        <v>0</v>
      </c>
      <c r="K171" s="7">
        <f t="shared" ref="K171:K177" si="46">SUM(L171:N171)</f>
        <v>680077.9</v>
      </c>
      <c r="L171" s="7"/>
      <c r="M171" s="10">
        <v>680077.9</v>
      </c>
      <c r="N171" s="7"/>
      <c r="O171" s="7">
        <f t="shared" si="44"/>
        <v>484307.05093000003</v>
      </c>
      <c r="P171" s="7"/>
      <c r="Q171" s="35">
        <f>484307050.93/1000</f>
        <v>484307.05093000003</v>
      </c>
      <c r="R171" s="7"/>
      <c r="S171" s="7">
        <f t="shared" si="45"/>
        <v>484307.05093000003</v>
      </c>
      <c r="T171" s="7"/>
      <c r="U171" s="10">
        <f>484307050.93/1000</f>
        <v>484307.05093000003</v>
      </c>
      <c r="V171" s="7"/>
      <c r="W171" s="22">
        <f t="shared" si="42"/>
        <v>71.213467005765082</v>
      </c>
      <c r="X171" s="46"/>
      <c r="Y171" s="48">
        <f t="shared" si="43"/>
        <v>0</v>
      </c>
      <c r="Z171" s="48"/>
    </row>
    <row r="172" spans="1:29" ht="32.25" customHeight="1" x14ac:dyDescent="0.2">
      <c r="A172" s="26" t="s">
        <v>34</v>
      </c>
      <c r="B172" s="28" t="s">
        <v>172</v>
      </c>
      <c r="C172" s="31" t="s">
        <v>220</v>
      </c>
      <c r="D172" s="31"/>
      <c r="E172" s="31"/>
      <c r="F172" s="31" t="s">
        <v>73</v>
      </c>
      <c r="G172" s="10">
        <f t="shared" si="37"/>
        <v>83299.100000000006</v>
      </c>
      <c r="H172" s="7">
        <v>0</v>
      </c>
      <c r="I172" s="10">
        <v>83299.100000000006</v>
      </c>
      <c r="J172" s="7">
        <v>0</v>
      </c>
      <c r="K172" s="7">
        <f t="shared" si="46"/>
        <v>83299.100000000006</v>
      </c>
      <c r="L172" s="7"/>
      <c r="M172" s="10">
        <v>83299.100000000006</v>
      </c>
      <c r="N172" s="7"/>
      <c r="O172" s="7">
        <f t="shared" si="44"/>
        <v>66000</v>
      </c>
      <c r="P172" s="7"/>
      <c r="Q172" s="35">
        <f>66000000/1000</f>
        <v>66000</v>
      </c>
      <c r="R172" s="7"/>
      <c r="S172" s="7">
        <f t="shared" si="45"/>
        <v>66000</v>
      </c>
      <c r="T172" s="7"/>
      <c r="U172" s="10">
        <v>66000</v>
      </c>
      <c r="V172" s="7"/>
      <c r="W172" s="22">
        <f t="shared" si="42"/>
        <v>79.232548731018696</v>
      </c>
      <c r="X172" s="46"/>
      <c r="Y172" s="48">
        <f t="shared" si="43"/>
        <v>0</v>
      </c>
      <c r="Z172" s="48"/>
    </row>
    <row r="173" spans="1:29" ht="24" customHeight="1" x14ac:dyDescent="0.2">
      <c r="A173" s="122" t="s">
        <v>35</v>
      </c>
      <c r="B173" s="100" t="s">
        <v>293</v>
      </c>
      <c r="C173" s="31" t="s">
        <v>221</v>
      </c>
      <c r="D173" s="31"/>
      <c r="E173" s="33"/>
      <c r="F173" s="31" t="s">
        <v>54</v>
      </c>
      <c r="G173" s="10">
        <f>H173+I173+J173</f>
        <v>20798.599999999999</v>
      </c>
      <c r="H173" s="7">
        <v>0</v>
      </c>
      <c r="I173" s="10">
        <v>20798.599999999999</v>
      </c>
      <c r="J173" s="7">
        <v>0</v>
      </c>
      <c r="K173" s="7">
        <f t="shared" si="46"/>
        <v>23388.799999999999</v>
      </c>
      <c r="L173" s="7"/>
      <c r="M173" s="10">
        <f>3417+16644.6+3327.2</f>
        <v>23388.799999999999</v>
      </c>
      <c r="N173" s="7"/>
      <c r="O173" s="7">
        <f t="shared" si="44"/>
        <v>21788.183079999999</v>
      </c>
      <c r="P173" s="7"/>
      <c r="Q173" s="35">
        <f>(18688183.08+3100000)/1000</f>
        <v>21788.183079999999</v>
      </c>
      <c r="R173" s="7"/>
      <c r="S173" s="7">
        <f t="shared" si="45"/>
        <v>21788.183079999999</v>
      </c>
      <c r="T173" s="7"/>
      <c r="U173" s="10">
        <f>21788183.08/1000</f>
        <v>21788.183079999999</v>
      </c>
      <c r="V173" s="7"/>
      <c r="W173" s="22">
        <f t="shared" si="42"/>
        <v>93.156481221781362</v>
      </c>
      <c r="X173" s="46"/>
      <c r="Y173" s="72">
        <f t="shared" si="43"/>
        <v>0</v>
      </c>
      <c r="Z173" s="72"/>
    </row>
    <row r="174" spans="1:29" ht="123.75" customHeight="1" x14ac:dyDescent="0.2">
      <c r="A174" s="123"/>
      <c r="B174" s="101"/>
      <c r="C174" s="31" t="s">
        <v>273</v>
      </c>
      <c r="D174" s="31"/>
      <c r="E174" s="33"/>
      <c r="F174" s="31" t="s">
        <v>54</v>
      </c>
      <c r="G174" s="10">
        <f>H174+I174+J174</f>
        <v>411</v>
      </c>
      <c r="H174" s="7"/>
      <c r="I174" s="10">
        <v>411</v>
      </c>
      <c r="J174" s="35"/>
      <c r="K174" s="35">
        <f>SUM(L174:N174)</f>
        <v>2625.3</v>
      </c>
      <c r="L174" s="35"/>
      <c r="M174" s="41">
        <f>578+1661+386.3</f>
        <v>2625.3</v>
      </c>
      <c r="N174" s="7"/>
      <c r="O174" s="7">
        <f t="shared" si="44"/>
        <v>1712.7178899999999</v>
      </c>
      <c r="P174" s="7"/>
      <c r="Q174" s="35">
        <f>1712717.89/1000</f>
        <v>1712.7178899999999</v>
      </c>
      <c r="R174" s="7"/>
      <c r="S174" s="7">
        <f t="shared" si="45"/>
        <v>1712.7178899999999</v>
      </c>
      <c r="T174" s="7"/>
      <c r="U174" s="10">
        <f>1712717.89/1000</f>
        <v>1712.7178899999999</v>
      </c>
      <c r="V174" s="7"/>
      <c r="W174" s="22">
        <f t="shared" si="42"/>
        <v>65.238939930674576</v>
      </c>
      <c r="X174" s="46"/>
      <c r="Y174" s="48">
        <f t="shared" si="43"/>
        <v>0</v>
      </c>
      <c r="Z174" s="48"/>
    </row>
    <row r="175" spans="1:29" ht="81" customHeight="1" x14ac:dyDescent="0.2">
      <c r="A175" s="122" t="s">
        <v>36</v>
      </c>
      <c r="B175" s="100" t="s">
        <v>295</v>
      </c>
      <c r="C175" s="31" t="s">
        <v>222</v>
      </c>
      <c r="D175" s="31"/>
      <c r="E175" s="31"/>
      <c r="F175" s="31" t="s">
        <v>74</v>
      </c>
      <c r="G175" s="10">
        <f>H175+I175+J175</f>
        <v>14392.7</v>
      </c>
      <c r="H175" s="7">
        <v>0</v>
      </c>
      <c r="I175" s="10">
        <v>14392.7</v>
      </c>
      <c r="J175" s="7">
        <v>0</v>
      </c>
      <c r="K175" s="7">
        <f t="shared" si="46"/>
        <v>14192.7</v>
      </c>
      <c r="L175" s="7"/>
      <c r="M175" s="10">
        <v>14192.7</v>
      </c>
      <c r="N175" s="7"/>
      <c r="O175" s="7">
        <f t="shared" si="44"/>
        <v>5242.5649999999996</v>
      </c>
      <c r="P175" s="7"/>
      <c r="Q175" s="35">
        <f>[3]Расходы!$I$104/1000</f>
        <v>5242.5649999999996</v>
      </c>
      <c r="R175" s="7"/>
      <c r="S175" s="7">
        <f t="shared" si="45"/>
        <v>5242.5649999999996</v>
      </c>
      <c r="T175" s="7"/>
      <c r="U175" s="10">
        <f>Q175</f>
        <v>5242.5649999999996</v>
      </c>
      <c r="V175" s="7"/>
      <c r="W175" s="22">
        <f t="shared" si="42"/>
        <v>36.938461321665358</v>
      </c>
      <c r="X175" s="46"/>
      <c r="Y175" s="48">
        <f t="shared" si="43"/>
        <v>0</v>
      </c>
      <c r="Z175" s="48"/>
    </row>
    <row r="176" spans="1:29" ht="81" customHeight="1" x14ac:dyDescent="0.2">
      <c r="A176" s="123"/>
      <c r="B176" s="101"/>
      <c r="C176" s="31" t="s">
        <v>222</v>
      </c>
      <c r="D176" s="31"/>
      <c r="E176" s="31"/>
      <c r="F176" s="31" t="s">
        <v>64</v>
      </c>
      <c r="G176" s="10">
        <f>H176+I176+J176</f>
        <v>1630.8</v>
      </c>
      <c r="H176" s="7">
        <v>0</v>
      </c>
      <c r="I176" s="10">
        <v>1630.8</v>
      </c>
      <c r="J176" s="7">
        <v>0</v>
      </c>
      <c r="K176" s="7">
        <f t="shared" si="46"/>
        <v>1830.8</v>
      </c>
      <c r="L176" s="7"/>
      <c r="M176" s="10">
        <v>1830.8</v>
      </c>
      <c r="N176" s="7"/>
      <c r="O176" s="7">
        <f t="shared" si="44"/>
        <v>794.25</v>
      </c>
      <c r="P176" s="7"/>
      <c r="Q176" s="35">
        <f>[3]Расходы!$I$105/1000</f>
        <v>794.25</v>
      </c>
      <c r="R176" s="7"/>
      <c r="S176" s="7">
        <f t="shared" si="45"/>
        <v>794.25</v>
      </c>
      <c r="T176" s="7"/>
      <c r="U176" s="10">
        <f>Q176</f>
        <v>794.25</v>
      </c>
      <c r="V176" s="7"/>
      <c r="W176" s="22">
        <f t="shared" si="42"/>
        <v>43.382674240769063</v>
      </c>
      <c r="X176" s="46"/>
      <c r="Y176" s="48">
        <f t="shared" si="43"/>
        <v>0</v>
      </c>
      <c r="Z176" s="48"/>
    </row>
    <row r="177" spans="1:26" ht="132" customHeight="1" x14ac:dyDescent="0.2">
      <c r="A177" s="26" t="s">
        <v>37</v>
      </c>
      <c r="B177" s="28" t="s">
        <v>296</v>
      </c>
      <c r="C177" s="31" t="s">
        <v>223</v>
      </c>
      <c r="D177" s="31"/>
      <c r="E177" s="31"/>
      <c r="F177" s="31" t="s">
        <v>54</v>
      </c>
      <c r="G177" s="10">
        <f>H177+I177+J177</f>
        <v>1296</v>
      </c>
      <c r="H177" s="7">
        <v>0</v>
      </c>
      <c r="I177" s="10">
        <v>1296</v>
      </c>
      <c r="J177" s="7">
        <v>0</v>
      </c>
      <c r="K177" s="7">
        <f t="shared" si="46"/>
        <v>1305.5999999999999</v>
      </c>
      <c r="L177" s="7"/>
      <c r="M177" s="10">
        <f>1152+153.6</f>
        <v>1305.5999999999999</v>
      </c>
      <c r="N177" s="7"/>
      <c r="O177" s="7">
        <f t="shared" si="44"/>
        <v>882.75409999999999</v>
      </c>
      <c r="P177" s="7"/>
      <c r="Q177" s="35">
        <f>882754.1/1000</f>
        <v>882.75409999999999</v>
      </c>
      <c r="R177" s="7"/>
      <c r="S177" s="7">
        <f t="shared" si="45"/>
        <v>882.75409999999999</v>
      </c>
      <c r="T177" s="7"/>
      <c r="U177" s="10">
        <f>882754.1/1000</f>
        <v>882.75409999999999</v>
      </c>
      <c r="V177" s="7"/>
      <c r="W177" s="22">
        <f t="shared" si="42"/>
        <v>67.612905943627453</v>
      </c>
      <c r="X177" s="46"/>
      <c r="Y177" s="48">
        <f t="shared" si="43"/>
        <v>0</v>
      </c>
      <c r="Z177" s="48"/>
    </row>
    <row r="178" spans="1:26" x14ac:dyDescent="0.2">
      <c r="A178" s="23"/>
      <c r="B178" s="23"/>
      <c r="C178" s="23"/>
      <c r="D178" s="23"/>
      <c r="E178" s="23"/>
      <c r="F178" s="23"/>
      <c r="X178" s="44"/>
      <c r="Y178" s="3"/>
    </row>
    <row r="179" spans="1:26" x14ac:dyDescent="0.2">
      <c r="C179" s="23"/>
      <c r="D179" s="23"/>
      <c r="E179" s="23"/>
      <c r="F179" s="23"/>
      <c r="Y179" s="3"/>
    </row>
    <row r="180" spans="1:26" x14ac:dyDescent="0.2">
      <c r="C180" s="23"/>
      <c r="D180" s="23"/>
      <c r="E180" s="23"/>
      <c r="F180" s="2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Y180" s="3"/>
    </row>
    <row r="181" spans="1:26" x14ac:dyDescent="0.2">
      <c r="G181" s="3">
        <f>G8-G116-G145-G148-G151</f>
        <v>5929383.1000000006</v>
      </c>
      <c r="K181" s="68">
        <f>G8-K8</f>
        <v>9745.8000000007451</v>
      </c>
      <c r="L181" s="68">
        <f>H8-L8</f>
        <v>0</v>
      </c>
      <c r="M181" s="68">
        <f>I8-M8</f>
        <v>9745.8000000007451</v>
      </c>
      <c r="S181" s="68"/>
      <c r="Y181" s="3"/>
    </row>
    <row r="182" spans="1:26" x14ac:dyDescent="0.2">
      <c r="G182" s="47"/>
      <c r="K182" s="3"/>
      <c r="S182" s="47"/>
      <c r="Y182" s="3"/>
    </row>
    <row r="183" spans="1:26" x14ac:dyDescent="0.2">
      <c r="S183" s="45"/>
      <c r="T183" s="3"/>
      <c r="U183" s="3"/>
      <c r="Y183" s="3"/>
    </row>
    <row r="184" spans="1:26" x14ac:dyDescent="0.2">
      <c r="G184" s="68"/>
      <c r="S184" s="45"/>
      <c r="U184" s="3"/>
      <c r="Y184" s="3"/>
    </row>
    <row r="185" spans="1:26" x14ac:dyDescent="0.2">
      <c r="K185" s="3"/>
      <c r="S185" s="47"/>
      <c r="U185" s="3"/>
      <c r="Y185" s="3"/>
    </row>
    <row r="186" spans="1:26" x14ac:dyDescent="0.2">
      <c r="Y186" s="3"/>
    </row>
    <row r="187" spans="1:26" x14ac:dyDescent="0.2">
      <c r="Y187" s="3"/>
    </row>
    <row r="188" spans="1:26" x14ac:dyDescent="0.2">
      <c r="Y188" s="3"/>
    </row>
    <row r="189" spans="1:26" x14ac:dyDescent="0.2">
      <c r="S189" s="3"/>
      <c r="T189" s="3"/>
      <c r="U189" s="3"/>
      <c r="Y189" s="3"/>
    </row>
    <row r="190" spans="1:26" x14ac:dyDescent="0.2">
      <c r="G190" s="3"/>
    </row>
    <row r="191" spans="1:26" x14ac:dyDescent="0.2">
      <c r="S191" s="40"/>
      <c r="T191" s="40"/>
    </row>
    <row r="192" spans="1:26" x14ac:dyDescent="0.2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9:19" x14ac:dyDescent="0.2">
      <c r="S193" s="40"/>
    </row>
  </sheetData>
  <autoFilter ref="B4:J177">
    <filterColumn colId="5" showButton="0"/>
    <filterColumn colId="6" showButton="0"/>
    <filterColumn colId="7" showButton="0"/>
  </autoFilter>
  <mergeCells count="59">
    <mergeCell ref="B104:B108"/>
    <mergeCell ref="B155:B161"/>
    <mergeCell ref="B162:B165"/>
    <mergeCell ref="B166:B168"/>
    <mergeCell ref="A162:A165"/>
    <mergeCell ref="B90:B91"/>
    <mergeCell ref="A34:A35"/>
    <mergeCell ref="B30:B31"/>
    <mergeCell ref="A30:A31"/>
    <mergeCell ref="A12:A15"/>
    <mergeCell ref="A76:B76"/>
    <mergeCell ref="A175:A176"/>
    <mergeCell ref="B175:B176"/>
    <mergeCell ref="B173:B174"/>
    <mergeCell ref="A173:A174"/>
    <mergeCell ref="A144:B144"/>
    <mergeCell ref="A155:A161"/>
    <mergeCell ref="A166:A168"/>
    <mergeCell ref="A153:B153"/>
    <mergeCell ref="A125:B125"/>
    <mergeCell ref="B50:B51"/>
    <mergeCell ref="A139:B139"/>
    <mergeCell ref="A129:A132"/>
    <mergeCell ref="A102:B102"/>
    <mergeCell ref="B129:B132"/>
    <mergeCell ref="A123:A124"/>
    <mergeCell ref="A104:A108"/>
    <mergeCell ref="B123:B124"/>
    <mergeCell ref="A114:A115"/>
    <mergeCell ref="B114:B115"/>
    <mergeCell ref="A50:A51"/>
    <mergeCell ref="A110:A112"/>
    <mergeCell ref="B110:B112"/>
    <mergeCell ref="A90:A91"/>
    <mergeCell ref="A1:V1"/>
    <mergeCell ref="C4:E4"/>
    <mergeCell ref="A2:V2"/>
    <mergeCell ref="T5:U5"/>
    <mergeCell ref="O5:O6"/>
    <mergeCell ref="O4:R4"/>
    <mergeCell ref="D5:D6"/>
    <mergeCell ref="S4:V4"/>
    <mergeCell ref="G4:G6"/>
    <mergeCell ref="E5:E6"/>
    <mergeCell ref="P5:Q5"/>
    <mergeCell ref="B34:B35"/>
    <mergeCell ref="B12:B15"/>
    <mergeCell ref="B4:B6"/>
    <mergeCell ref="F4:F6"/>
    <mergeCell ref="C5:C6"/>
    <mergeCell ref="A9:B9"/>
    <mergeCell ref="K5:K6"/>
    <mergeCell ref="S5:S6"/>
    <mergeCell ref="K4:N4"/>
    <mergeCell ref="A4:A6"/>
    <mergeCell ref="W2:X2"/>
    <mergeCell ref="F3:G3"/>
    <mergeCell ref="L5:N5"/>
    <mergeCell ref="H5:J5"/>
  </mergeCells>
  <phoneticPr fontId="0" type="noConversion"/>
  <pageMargins left="0" right="0" top="0.19685039370078741" bottom="0" header="0.51181102362204722" footer="0.51181102362204722"/>
  <pageSetup paperSize="9" scale="47" fitToHeight="22" orientation="landscape" r:id="rId1"/>
  <headerFooter alignWithMargins="0"/>
  <rowBreaks count="1" manualBreakCount="1">
    <brk id="1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Крючкова Татьяна Петровна</cp:lastModifiedBy>
  <cp:lastPrinted>2020-10-15T05:47:58Z</cp:lastPrinted>
  <dcterms:created xsi:type="dcterms:W3CDTF">1996-10-08T23:32:33Z</dcterms:created>
  <dcterms:modified xsi:type="dcterms:W3CDTF">2020-10-16T05:58:55Z</dcterms:modified>
</cp:coreProperties>
</file>